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GC\Downloads\"/>
    </mc:Choice>
  </mc:AlternateContent>
  <xr:revisionPtr revIDLastSave="0" documentId="13_ncr:1_{E1335E08-ADF0-4911-8403-4ADF1FA5E8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posed Tax Calculator" sheetId="2" r:id="rId1"/>
    <sheet name="Income Slabs" sheetId="3" state="hidden" r:id="rId2"/>
  </sheets>
  <functionGroups builtInGroupCount="19"/>
  <definedNames>
    <definedName name="_xlnm._FilterDatabase" localSheetId="0" hidden="1">'Proposed Tax Calculator'!#REF!</definedName>
    <definedName name="LTA_CELL">'Proposed Tax Calculator'!$F$19</definedName>
    <definedName name="_xlnm.Print_Area" localSheetId="1">'Income Slabs'!$B$2:$P$55</definedName>
    <definedName name="_xlnm.Print_Area" localSheetId="0">'Proposed Tax Calculator'!$C$1:$H$64</definedName>
    <definedName name="ST_NAME">'Proposed Tax Calculator'!$C$79:$C$114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2" l="1"/>
  <c r="H8" i="2" s="1"/>
  <c r="F19" i="2"/>
  <c r="E3" i="2"/>
  <c r="F15" i="2"/>
  <c r="H43" i="2" l="1"/>
  <c r="F51" i="3" l="1"/>
  <c r="G51" i="3" s="1"/>
  <c r="H51" i="3" s="1"/>
  <c r="F50" i="3"/>
  <c r="G50" i="3" s="1"/>
  <c r="H50" i="3" s="1"/>
  <c r="F49" i="3"/>
  <c r="G49" i="3" s="1"/>
  <c r="H49" i="3" s="1"/>
  <c r="F48" i="3"/>
  <c r="G48" i="3" s="1"/>
  <c r="H48" i="3" s="1"/>
  <c r="F47" i="3"/>
  <c r="G47" i="3" s="1"/>
  <c r="H47" i="3" s="1"/>
  <c r="F46" i="3"/>
  <c r="G46" i="3" s="1"/>
  <c r="H46" i="3" s="1"/>
  <c r="G45" i="3"/>
  <c r="H45" i="3" s="1"/>
  <c r="F45" i="3"/>
  <c r="F44" i="3"/>
  <c r="G44" i="3" s="1"/>
  <c r="H44" i="3" s="1"/>
  <c r="D44" i="3"/>
  <c r="D45" i="3" s="1"/>
  <c r="D46" i="3" s="1"/>
  <c r="D47" i="3" s="1"/>
  <c r="F43" i="3"/>
  <c r="G43" i="3" s="1"/>
  <c r="H43" i="3" s="1"/>
  <c r="F33" i="3"/>
  <c r="F34" i="3" s="1"/>
  <c r="E33" i="3"/>
  <c r="H32" i="3"/>
  <c r="F32" i="3"/>
  <c r="E32" i="3"/>
  <c r="L37" i="3"/>
  <c r="L36" i="3"/>
  <c r="L35" i="3"/>
  <c r="L34" i="3"/>
  <c r="L33" i="3"/>
  <c r="L32" i="3"/>
  <c r="F43" i="2"/>
  <c r="F35" i="3" l="1"/>
  <c r="H34" i="3"/>
  <c r="E35" i="3"/>
  <c r="H33" i="3"/>
  <c r="E34" i="3"/>
  <c r="H15" i="2"/>
  <c r="H36" i="3" l="1"/>
  <c r="E36" i="3"/>
  <c r="H35" i="3"/>
  <c r="E40" i="2"/>
  <c r="F40" i="2" s="1"/>
  <c r="H23" i="2" l="1"/>
  <c r="H22" i="2"/>
  <c r="F52" i="2" l="1"/>
  <c r="E120" i="2"/>
  <c r="E119" i="2"/>
  <c r="E118" i="2"/>
  <c r="H52" i="2" l="1"/>
  <c r="E121" i="2"/>
  <c r="E122" i="2" s="1"/>
  <c r="F18" i="2" s="1"/>
  <c r="F11" i="2"/>
  <c r="F14" i="2" l="1"/>
  <c r="H14" i="2"/>
  <c r="H17" i="2" s="1"/>
  <c r="F24" i="3"/>
  <c r="G24" i="3" s="1"/>
  <c r="H24" i="3" s="1"/>
  <c r="F23" i="3"/>
  <c r="G23" i="3" s="1"/>
  <c r="H23" i="3" s="1"/>
  <c r="F22" i="3"/>
  <c r="G22" i="3" s="1"/>
  <c r="H22" i="3" s="1"/>
  <c r="F21" i="3"/>
  <c r="G21" i="3" s="1"/>
  <c r="H21" i="3" s="1"/>
  <c r="F20" i="3"/>
  <c r="G20" i="3" s="1"/>
  <c r="H20" i="3" s="1"/>
  <c r="F19" i="3"/>
  <c r="G19" i="3" s="1"/>
  <c r="H19" i="3" s="1"/>
  <c r="F18" i="3"/>
  <c r="G18" i="3" s="1"/>
  <c r="H18" i="3" s="1"/>
  <c r="F17" i="3"/>
  <c r="G17" i="3" s="1"/>
  <c r="H17" i="3" s="1"/>
  <c r="H20" i="2" l="1"/>
  <c r="H24" i="2" s="1"/>
  <c r="H54" i="2" s="1"/>
  <c r="F17" i="2"/>
  <c r="F16" i="2"/>
  <c r="L24" i="3"/>
  <c r="L23" i="3"/>
  <c r="L22" i="3"/>
  <c r="L21" i="3"/>
  <c r="L20" i="3"/>
  <c r="L19" i="3"/>
  <c r="L18" i="3"/>
  <c r="L17" i="3"/>
  <c r="L12" i="3"/>
  <c r="E12" i="3"/>
  <c r="L11" i="3"/>
  <c r="E11" i="3"/>
  <c r="H11" i="3" s="1"/>
  <c r="L10" i="3"/>
  <c r="E10" i="3"/>
  <c r="H10" i="3" s="1"/>
  <c r="L9" i="3"/>
  <c r="L8" i="3"/>
  <c r="L7" i="3"/>
  <c r="E7" i="3"/>
  <c r="L6" i="3"/>
  <c r="E6" i="3"/>
  <c r="H6" i="3" s="1"/>
  <c r="L5" i="3"/>
  <c r="E5" i="3"/>
  <c r="H5" i="3" s="1"/>
  <c r="H55" i="2" l="1"/>
  <c r="F20" i="2"/>
  <c r="H7" i="3"/>
  <c r="H12" i="3"/>
  <c r="H56" i="2" l="1"/>
  <c r="H57" i="2" s="1"/>
  <c r="F24" i="2"/>
  <c r="F54" i="2" s="1"/>
  <c r="H58" i="2" l="1"/>
  <c r="H59" i="2" s="1"/>
  <c r="H60" i="2" s="1"/>
  <c r="F55" i="2"/>
  <c r="H61" i="2" l="1"/>
  <c r="F56" i="2"/>
  <c r="F57" i="2" s="1"/>
  <c r="F58" i="2" s="1"/>
  <c r="F59" i="2" l="1"/>
  <c r="F60" i="2" s="1"/>
  <c r="F61" i="2" s="1"/>
  <c r="H62" i="2" l="1"/>
  <c r="J13" i="2" s="1"/>
</calcChain>
</file>

<file path=xl/sharedStrings.xml><?xml version="1.0" encoding="utf-8"?>
<sst xmlns="http://schemas.openxmlformats.org/spreadsheetml/2006/main" count="321" uniqueCount="144">
  <si>
    <t>Taxable Income</t>
  </si>
  <si>
    <t>Senior Citizen</t>
  </si>
  <si>
    <t>General</t>
  </si>
  <si>
    <t>Income Tax</t>
  </si>
  <si>
    <t>STATUS</t>
  </si>
  <si>
    <t>Income From</t>
  </si>
  <si>
    <t>Income Up to</t>
  </si>
  <si>
    <t>Tax Rate</t>
  </si>
  <si>
    <t>Tax Amount</t>
  </si>
  <si>
    <t>Surcharge</t>
  </si>
  <si>
    <t>Marginal</t>
  </si>
  <si>
    <t>&gt;</t>
  </si>
  <si>
    <t>Add: Surcharge</t>
  </si>
  <si>
    <t>Total Tax</t>
  </si>
  <si>
    <t>Net Annual Tax</t>
  </si>
  <si>
    <t>All</t>
  </si>
  <si>
    <t>SLAB</t>
  </si>
  <si>
    <t>Old Slab</t>
  </si>
  <si>
    <t>New Slab</t>
  </si>
  <si>
    <t>OLD SLAB</t>
  </si>
  <si>
    <t>Additional Tax Slab</t>
  </si>
  <si>
    <t>Tax</t>
  </si>
  <si>
    <t>Cess</t>
  </si>
  <si>
    <t>Add Tax</t>
  </si>
  <si>
    <t>&gt; 50000000</t>
  </si>
  <si>
    <t>&gt;&gt;&gt;&gt; Old Tax Slabs</t>
  </si>
  <si>
    <t>&gt;&gt;&gt;&gt; New Tax Slabs</t>
  </si>
  <si>
    <t>Add: Edu. Health Cess</t>
  </si>
  <si>
    <t>House Rent Allowance - HRA</t>
  </si>
  <si>
    <t>Leave Travel Allowance - LTA</t>
  </si>
  <si>
    <t>Medical Allowance</t>
  </si>
  <si>
    <t>Conveyance Allowance</t>
  </si>
  <si>
    <t>Select Rent Location</t>
  </si>
  <si>
    <t>Sum of All Other Allowances</t>
  </si>
  <si>
    <t>Special Allowance</t>
  </si>
  <si>
    <t>Other Allowance</t>
  </si>
  <si>
    <t>Total Monthly Gross Salary :-</t>
  </si>
  <si>
    <t>NPS Employer Contribution</t>
  </si>
  <si>
    <r>
      <t xml:space="preserve">Sum of All </t>
    </r>
    <r>
      <rPr>
        <b/>
        <sz val="11"/>
        <rFont val="Calibri"/>
        <family val="2"/>
        <scheme val="minor"/>
      </rPr>
      <t>Annual</t>
    </r>
    <r>
      <rPr>
        <sz val="11"/>
        <rFont val="Calibri"/>
        <family val="2"/>
        <scheme val="minor"/>
      </rPr>
      <t xml:space="preserve"> Perks (If Any)</t>
    </r>
  </si>
  <si>
    <t>STATE NAME</t>
  </si>
  <si>
    <t>ANDHRA PRADESH</t>
  </si>
  <si>
    <t>BIHAR</t>
  </si>
  <si>
    <t>GUJRAT</t>
  </si>
  <si>
    <t>KARNATAKA</t>
  </si>
  <si>
    <t>MAHARASHTRA</t>
  </si>
  <si>
    <t>DELHI</t>
  </si>
  <si>
    <t>UTTAR PRADESH</t>
  </si>
  <si>
    <t>WEST BENGAL</t>
  </si>
  <si>
    <t>ARUNACHAL PRADESH</t>
  </si>
  <si>
    <t>ANDAMAN &amp; NICOBAR</t>
  </si>
  <si>
    <t>ASSAM</t>
  </si>
  <si>
    <t>CHHATTISGARH</t>
  </si>
  <si>
    <t>CHANDIGARH</t>
  </si>
  <si>
    <t>GOA</t>
  </si>
  <si>
    <t>HARYANA</t>
  </si>
  <si>
    <t>HIMACHAL PRADESH</t>
  </si>
  <si>
    <t>JAMMU &amp; KASHMIR</t>
  </si>
  <si>
    <t>JHARKHAND</t>
  </si>
  <si>
    <t>KERALA</t>
  </si>
  <si>
    <t>MADHYA PRADESH</t>
  </si>
  <si>
    <t>MANIPUR</t>
  </si>
  <si>
    <t>MEGHALAYA</t>
  </si>
  <si>
    <t>MIZORAM</t>
  </si>
  <si>
    <t>NAGALAND</t>
  </si>
  <si>
    <t>ORRISSA</t>
  </si>
  <si>
    <t>PUDUCHERRY</t>
  </si>
  <si>
    <t>PUNJAB</t>
  </si>
  <si>
    <t>RAJASTHAN</t>
  </si>
  <si>
    <t>SIKKIM</t>
  </si>
  <si>
    <t>TELANGANA</t>
  </si>
  <si>
    <t>TAMILNADU</t>
  </si>
  <si>
    <t>TRIPURA</t>
  </si>
  <si>
    <t>UTTARANCHAL</t>
  </si>
  <si>
    <t>DADRA AND NAGAR HAVELI</t>
  </si>
  <si>
    <t>DAMAN AND DIU</t>
  </si>
  <si>
    <t>LAKSHADWEEP</t>
  </si>
  <si>
    <t>Annual P.Tax</t>
  </si>
  <si>
    <t>Taxability &amp; Calculation as per old and New Tax Regime</t>
  </si>
  <si>
    <t>Monthly House Rent Paid</t>
  </si>
  <si>
    <t>Gross Annual Salary Income (Salary  + Allowances + Perks) :</t>
  </si>
  <si>
    <r>
      <rPr>
        <b/>
        <sz val="11"/>
        <rFont val="Calibri"/>
        <family val="2"/>
        <scheme val="minor"/>
      </rPr>
      <t xml:space="preserve">Less: </t>
    </r>
    <r>
      <rPr>
        <sz val="11"/>
        <rFont val="Calibri"/>
        <family val="2"/>
        <scheme val="minor"/>
      </rPr>
      <t>Tax on Employment (Professional Tax) :</t>
    </r>
  </si>
  <si>
    <r>
      <rPr>
        <b/>
        <sz val="11"/>
        <rFont val="Calibri"/>
        <family val="2"/>
        <scheme val="minor"/>
      </rPr>
      <t xml:space="preserve">Less: </t>
    </r>
    <r>
      <rPr>
        <sz val="11"/>
        <rFont val="Calibri"/>
        <family val="2"/>
        <scheme val="minor"/>
      </rPr>
      <t>Standard deduction :</t>
    </r>
  </si>
  <si>
    <t>HRA Calculation</t>
  </si>
  <si>
    <t>1. Step 1</t>
  </si>
  <si>
    <t>Basic Salary  + DA</t>
  </si>
  <si>
    <t>2. Rent - basic 10%</t>
  </si>
  <si>
    <t>3. Step 50 or 40%</t>
  </si>
  <si>
    <t>Exemption</t>
  </si>
  <si>
    <t>Annual</t>
  </si>
  <si>
    <t xml:space="preserve"> </t>
  </si>
  <si>
    <t>Gross Total Income :</t>
  </si>
  <si>
    <t>Total Deduction U/C VIA</t>
  </si>
  <si>
    <t>Deduction u/s 80D</t>
  </si>
  <si>
    <t>Deduction u/s 80CCD(1B)</t>
  </si>
  <si>
    <t>Deduction u/s 80CCD2</t>
  </si>
  <si>
    <t>Deduction u/s 80DD</t>
  </si>
  <si>
    <t>Deduction u/s 80DDB</t>
  </si>
  <si>
    <t>Deduction u/s 80E</t>
  </si>
  <si>
    <t>Deduction u/s 80EE</t>
  </si>
  <si>
    <t>Deduction u/s 80EEA</t>
  </si>
  <si>
    <t>Deduction u/s 80G</t>
  </si>
  <si>
    <t>Deduction u/s 80TTA</t>
  </si>
  <si>
    <t>Deduction u/s 80U</t>
  </si>
  <si>
    <r>
      <rPr>
        <b/>
        <sz val="11"/>
        <rFont val="Calibri"/>
        <family val="2"/>
        <scheme val="minor"/>
      </rPr>
      <t xml:space="preserve">Less: </t>
    </r>
    <r>
      <rPr>
        <sz val="11"/>
        <rFont val="Calibri"/>
        <family val="2"/>
        <scheme val="minor"/>
      </rPr>
      <t>Loss from House Property u/s(24) :</t>
    </r>
  </si>
  <si>
    <r>
      <rPr>
        <b/>
        <sz val="11"/>
        <rFont val="Calibri"/>
        <family val="2"/>
        <scheme val="minor"/>
      </rPr>
      <t xml:space="preserve">Less: </t>
    </r>
    <r>
      <rPr>
        <sz val="11"/>
        <rFont val="Calibri"/>
        <family val="2"/>
        <scheme val="minor"/>
      </rPr>
      <t>Rebate 87A</t>
    </r>
  </si>
  <si>
    <t>Balance Tax Liability</t>
  </si>
  <si>
    <t>Save Tax as per New Slab</t>
  </si>
  <si>
    <r>
      <rPr>
        <b/>
        <sz val="11"/>
        <rFont val="Calibri"/>
        <family val="2"/>
        <scheme val="minor"/>
      </rPr>
      <t xml:space="preserve">Add: </t>
    </r>
    <r>
      <rPr>
        <sz val="11"/>
        <rFont val="Calibri"/>
        <family val="2"/>
        <scheme val="minor"/>
      </rPr>
      <t>Income from House Property :</t>
    </r>
  </si>
  <si>
    <t>Income from Salary :</t>
  </si>
  <si>
    <r>
      <rPr>
        <b/>
        <sz val="11"/>
        <rFont val="Calibri"/>
        <family val="2"/>
        <scheme val="minor"/>
      </rPr>
      <t xml:space="preserve">Add: </t>
    </r>
    <r>
      <rPr>
        <sz val="11"/>
        <rFont val="Calibri"/>
        <family val="2"/>
        <scheme val="minor"/>
      </rPr>
      <t xml:space="preserve">Income from Other sources : </t>
    </r>
  </si>
  <si>
    <t>Current Employer - PF</t>
  </si>
  <si>
    <t>Pervious Employer - PF</t>
  </si>
  <si>
    <t>Voluntary Provident Fund  - VPF</t>
  </si>
  <si>
    <t>Life Insurance Premiums - LIP</t>
  </si>
  <si>
    <t>Public Provident Fund - PPF</t>
  </si>
  <si>
    <t>Children Education Tuition Fees - CEF</t>
  </si>
  <si>
    <t>Pension Funds – Section 80CCC</t>
  </si>
  <si>
    <t>Bank fixed deposits (5-Yr) - FD</t>
  </si>
  <si>
    <t>Unit linked Insurance Plan - ULIP</t>
  </si>
  <si>
    <t>Home Loan Principal Repayment - HLP</t>
  </si>
  <si>
    <t>Equity Linked Savings Scheme - ELSS</t>
  </si>
  <si>
    <t>National Savings Certificate - NSC</t>
  </si>
  <si>
    <t>Stamp Duty and Registration Charges</t>
  </si>
  <si>
    <t>Investments U/S 80C &amp; 80CCC</t>
  </si>
  <si>
    <t>Total Investments U/S 80C &amp; 80CCC</t>
  </si>
  <si>
    <t>-</t>
  </si>
  <si>
    <t>Other Investments E.g. Sukanya Account</t>
  </si>
  <si>
    <t>Metro City</t>
  </si>
  <si>
    <r>
      <rPr>
        <b/>
        <sz val="11"/>
        <rFont val="Calibri"/>
        <family val="2"/>
        <scheme val="minor"/>
      </rPr>
      <t>Less:</t>
    </r>
    <r>
      <rPr>
        <sz val="11"/>
        <rFont val="Calibri"/>
        <family val="2"/>
        <scheme val="minor"/>
      </rPr>
      <t xml:space="preserve"> LTA Exemption :</t>
    </r>
  </si>
  <si>
    <r>
      <rPr>
        <b/>
        <sz val="11"/>
        <rFont val="Calibri"/>
        <family val="2"/>
        <scheme val="minor"/>
      </rPr>
      <t>Less:</t>
    </r>
    <r>
      <rPr>
        <sz val="11"/>
        <rFont val="Calibri"/>
        <family val="2"/>
        <scheme val="minor"/>
      </rPr>
      <t xml:space="preserve"> HRA Exemption :</t>
    </r>
  </si>
  <si>
    <t>Auto Calculation as per Rent amount</t>
  </si>
  <si>
    <r>
      <rPr>
        <b/>
        <sz val="11"/>
        <rFont val="Calibri"/>
        <family val="2"/>
        <scheme val="minor"/>
      </rPr>
      <t xml:space="preserve">Less: </t>
    </r>
    <r>
      <rPr>
        <sz val="11"/>
        <rFont val="Calibri"/>
        <family val="2"/>
        <scheme val="minor"/>
      </rPr>
      <t>Official and Reimbursement Non Taxable Allowances</t>
    </r>
    <r>
      <rPr>
        <b/>
        <sz val="14"/>
        <color rgb="FFFF0000"/>
        <rFont val="Calibri"/>
        <family val="2"/>
        <scheme val="minor"/>
      </rPr>
      <t>*</t>
    </r>
    <r>
      <rPr>
        <sz val="11"/>
        <rFont val="Calibri"/>
        <family val="2"/>
        <scheme val="minor"/>
      </rPr>
      <t xml:space="preserve"> :</t>
    </r>
  </si>
  <si>
    <r>
      <t xml:space="preserve">Meal (Voucher) Allowance </t>
    </r>
    <r>
      <rPr>
        <sz val="11"/>
        <color rgb="FFFF0000"/>
        <rFont val="Calibri"/>
        <family val="2"/>
        <scheme val="minor"/>
      </rPr>
      <t>*</t>
    </r>
  </si>
  <si>
    <r>
      <t xml:space="preserve">Children Education Allowance </t>
    </r>
    <r>
      <rPr>
        <sz val="11"/>
        <color rgb="FFFF0000"/>
        <rFont val="Calibri"/>
        <family val="2"/>
        <scheme val="minor"/>
      </rPr>
      <t>*</t>
    </r>
  </si>
  <si>
    <r>
      <t xml:space="preserve">Children Hostel allowance </t>
    </r>
    <r>
      <rPr>
        <sz val="11"/>
        <color rgb="FFFF0000"/>
        <rFont val="Calibri"/>
        <family val="2"/>
        <scheme val="minor"/>
      </rPr>
      <t>*</t>
    </r>
  </si>
  <si>
    <r>
      <t xml:space="preserve">Washing Allowance </t>
    </r>
    <r>
      <rPr>
        <sz val="11"/>
        <color rgb="FFFF0000"/>
        <rFont val="Calibri"/>
        <family val="2"/>
        <scheme val="minor"/>
      </rPr>
      <t>*</t>
    </r>
  </si>
  <si>
    <r>
      <t xml:space="preserve">Uniform Allowance </t>
    </r>
    <r>
      <rPr>
        <sz val="11"/>
        <color rgb="FFFF0000"/>
        <rFont val="Calibri"/>
        <family val="2"/>
        <scheme val="minor"/>
      </rPr>
      <t>*</t>
    </r>
  </si>
  <si>
    <t>Amount of LTA Travel Bills (Annually)</t>
  </si>
  <si>
    <t>Old Regime</t>
  </si>
  <si>
    <t>New Regime</t>
  </si>
  <si>
    <t>&gt; 20000000</t>
  </si>
  <si>
    <r>
      <t xml:space="preserve">Sum of All Other Reimbursements </t>
    </r>
    <r>
      <rPr>
        <sz val="11"/>
        <color rgb="FFFF0000"/>
        <rFont val="Calibri"/>
        <family val="2"/>
        <scheme val="minor"/>
      </rPr>
      <t>*</t>
    </r>
  </si>
  <si>
    <r>
      <t xml:space="preserve">This Utility Prepared by </t>
    </r>
    <r>
      <rPr>
        <b/>
        <sz val="11"/>
        <rFont val="Calibri"/>
        <family val="2"/>
        <scheme val="minor"/>
      </rPr>
      <t>SGC Services Pvt Ltd</t>
    </r>
    <r>
      <rPr>
        <sz val="11"/>
        <rFont val="Calibri"/>
        <family val="2"/>
        <scheme val="minor"/>
      </rPr>
      <t xml:space="preserve"> and download from www.sgcservicesblog.com</t>
    </r>
  </si>
  <si>
    <t>Monthly Salary Details 2026 - 2027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</si>
</sst>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-"/>
  </numFmts>
  <fonts count="1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0"/>
      <name val="Open Sans"/>
      <family val="2"/>
    </font>
    <font>
      <b/>
      <sz val="10"/>
      <name val="Open Sans"/>
      <family val="2"/>
    </font>
    <font>
      <sz val="10"/>
      <name val="Open Sans"/>
      <family val="2"/>
    </font>
    <font>
      <sz val="14"/>
      <color theme="0"/>
      <name val="Open Sans"/>
      <family val="2"/>
    </font>
    <font>
      <b/>
      <sz val="10"/>
      <color theme="1"/>
      <name val="Open Sans"/>
      <family val="2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i/>
      <sz val="10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4" tint="0.39997558519241921"/>
      </left>
      <right style="hair">
        <color theme="4" tint="0.39997558519241921"/>
      </right>
      <top style="hair">
        <color theme="4" tint="0.39997558519241921"/>
      </top>
      <bottom style="hair">
        <color theme="4" tint="0.39997558519241921"/>
      </bottom>
      <diagonal/>
    </border>
    <border>
      <left/>
      <right/>
      <top style="hair">
        <color theme="4" tint="0.39997558519241921"/>
      </top>
      <bottom/>
      <diagonal/>
    </border>
    <border>
      <left style="hair">
        <color theme="4" tint="0.39997558519241921"/>
      </left>
      <right/>
      <top/>
      <bottom/>
      <diagonal/>
    </border>
    <border>
      <left/>
      <right style="hair">
        <color theme="4" tint="0.39997558519241921"/>
      </right>
      <top/>
      <bottom/>
      <diagonal/>
    </border>
    <border>
      <left/>
      <right/>
      <top/>
      <bottom style="hair">
        <color theme="4" tint="0.39997558519241921"/>
      </bottom>
      <diagonal/>
    </border>
    <border>
      <left/>
      <right style="hair">
        <color theme="4" tint="0.39997558519241921"/>
      </right>
      <top/>
      <bottom style="hair">
        <color theme="4" tint="0.39997558519241921"/>
      </bottom>
      <diagonal/>
    </border>
    <border>
      <left style="hair">
        <color theme="4" tint="-0.249977111117893"/>
      </left>
      <right style="hair">
        <color theme="4" tint="-0.249977111117893"/>
      </right>
      <top style="hair">
        <color theme="4" tint="-0.249977111117893"/>
      </top>
      <bottom style="hair">
        <color theme="4" tint="-0.249977111117893"/>
      </bottom>
      <diagonal/>
    </border>
    <border>
      <left style="hair">
        <color theme="4" tint="-0.249977111117893"/>
      </left>
      <right/>
      <top style="hair">
        <color theme="4" tint="-0.249977111117893"/>
      </top>
      <bottom style="hair">
        <color theme="4" tint="-0.249977111117893"/>
      </bottom>
      <diagonal/>
    </border>
    <border>
      <left/>
      <right style="hair">
        <color theme="4" tint="-0.249977111117893"/>
      </right>
      <top style="hair">
        <color theme="4" tint="-0.249977111117893"/>
      </top>
      <bottom style="hair">
        <color theme="4" tint="-0.249977111117893"/>
      </bottom>
      <diagonal/>
    </border>
    <border>
      <left style="hair">
        <color theme="4" tint="-0.249977111117893"/>
      </left>
      <right style="hair">
        <color theme="4" tint="-0.249977111117893"/>
      </right>
      <top style="hair">
        <color theme="4" tint="-0.249977111117893"/>
      </top>
      <bottom/>
      <diagonal/>
    </border>
    <border>
      <left style="hair">
        <color theme="4" tint="-0.249977111117893"/>
      </left>
      <right style="hair">
        <color theme="4" tint="-0.249977111117893"/>
      </right>
      <top/>
      <bottom/>
      <diagonal/>
    </border>
    <border>
      <left style="hair">
        <color theme="4" tint="-0.249977111117893"/>
      </left>
      <right style="hair">
        <color theme="4" tint="-0.249977111117893"/>
      </right>
      <top/>
      <bottom style="hair">
        <color theme="4" tint="-0.249977111117893"/>
      </bottom>
      <diagonal/>
    </border>
    <border>
      <left style="hair">
        <color theme="4" tint="-0.249977111117893"/>
      </left>
      <right/>
      <top style="hair">
        <color theme="4" tint="-0.249977111117893"/>
      </top>
      <bottom/>
      <diagonal/>
    </border>
    <border>
      <left/>
      <right style="hair">
        <color theme="4" tint="-0.249977111117893"/>
      </right>
      <top style="hair">
        <color theme="4" tint="-0.249977111117893"/>
      </top>
      <bottom/>
      <diagonal/>
    </border>
    <border>
      <left/>
      <right/>
      <top style="hair">
        <color theme="4" tint="-0.249977111117893"/>
      </top>
      <bottom style="hair">
        <color theme="4" tint="-0.249977111117893"/>
      </bottom>
      <diagonal/>
    </border>
    <border>
      <left style="hair">
        <color theme="4" tint="-0.249977111117893"/>
      </left>
      <right/>
      <top/>
      <bottom/>
      <diagonal/>
    </border>
    <border>
      <left/>
      <right style="hair">
        <color theme="4" tint="-0.249977111117893"/>
      </right>
      <top/>
      <bottom/>
      <diagonal/>
    </border>
    <border>
      <left style="hair">
        <color theme="4" tint="-0.249977111117893"/>
      </left>
      <right/>
      <top/>
      <bottom style="hair">
        <color theme="4" tint="-0.249977111117893"/>
      </bottom>
      <diagonal/>
    </border>
    <border>
      <left/>
      <right style="hair">
        <color theme="4" tint="-0.249977111117893"/>
      </right>
      <top/>
      <bottom style="hair">
        <color theme="4" tint="-0.249977111117893"/>
      </bottom>
      <diagonal/>
    </border>
    <border>
      <left/>
      <right/>
      <top/>
      <bottom style="hair">
        <color theme="4" tint="-0.24997711111789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theme="4" tint="-0.249977111117893"/>
      </right>
      <top style="hair">
        <color indexed="64"/>
      </top>
      <bottom style="hair">
        <color indexed="64"/>
      </bottom>
      <diagonal/>
    </border>
    <border>
      <left style="hair">
        <color theme="4" tint="-0.249977111117893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/>
      <right/>
      <top style="hair">
        <color theme="4" tint="-0.249977111117893"/>
      </top>
      <bottom/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/>
  </cellStyleXfs>
  <cellXfs count="149">
    <xf numFmtId="0" fontId="0" fillId="0" borderId="0" xfId="0"/>
    <xf numFmtId="0" fontId="2" fillId="0" borderId="0" xfId="0" applyFont="1"/>
    <xf numFmtId="0" fontId="5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6" fillId="2" borderId="0" xfId="1" applyFont="1" applyFill="1"/>
    <xf numFmtId="0" fontId="5" fillId="2" borderId="0" xfId="1" applyFont="1" applyFill="1"/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6" fillId="2" borderId="5" xfId="1" applyFont="1" applyFill="1" applyBorder="1" applyAlignment="1">
      <alignment horizontal="center"/>
    </xf>
    <xf numFmtId="0" fontId="6" fillId="2" borderId="4" xfId="1" applyFont="1" applyFill="1" applyBorder="1"/>
    <xf numFmtId="0" fontId="6" fillId="2" borderId="5" xfId="1" applyFont="1" applyFill="1" applyBorder="1"/>
    <xf numFmtId="0" fontId="6" fillId="2" borderId="7" xfId="1" applyFont="1" applyFill="1" applyBorder="1"/>
    <xf numFmtId="0" fontId="6" fillId="2" borderId="2" xfId="1" applyFont="1" applyFill="1" applyBorder="1"/>
    <xf numFmtId="0" fontId="6" fillId="2" borderId="3" xfId="1" applyFont="1" applyFill="1" applyBorder="1"/>
    <xf numFmtId="0" fontId="5" fillId="2" borderId="4" xfId="1" applyFont="1" applyFill="1" applyBorder="1"/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/>
    <xf numFmtId="0" fontId="6" fillId="2" borderId="7" xfId="1" applyFont="1" applyFill="1" applyBorder="1" applyAlignment="1">
      <alignment horizontal="center"/>
    </xf>
    <xf numFmtId="0" fontId="6" fillId="2" borderId="8" xfId="1" applyFont="1" applyFill="1" applyBorder="1"/>
    <xf numFmtId="0" fontId="6" fillId="2" borderId="2" xfId="1" applyFont="1" applyFill="1" applyBorder="1" applyAlignment="1">
      <alignment horizontal="center"/>
    </xf>
    <xf numFmtId="0" fontId="4" fillId="4" borderId="9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vertical="center"/>
    </xf>
    <xf numFmtId="0" fontId="6" fillId="2" borderId="9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5" fillId="2" borderId="10" xfId="1" applyFont="1" applyFill="1" applyBorder="1"/>
    <xf numFmtId="0" fontId="6" fillId="2" borderId="11" xfId="1" applyFont="1" applyFill="1" applyBorder="1" applyAlignment="1">
      <alignment vertical="center"/>
    </xf>
    <xf numFmtId="0" fontId="6" fillId="2" borderId="12" xfId="1" applyFont="1" applyFill="1" applyBorder="1" applyAlignment="1">
      <alignment horizontal="center"/>
    </xf>
    <xf numFmtId="0" fontId="6" fillId="2" borderId="11" xfId="1" applyFont="1" applyFill="1" applyBorder="1"/>
    <xf numFmtId="0" fontId="6" fillId="2" borderId="12" xfId="1" applyFont="1" applyFill="1" applyBorder="1"/>
    <xf numFmtId="0" fontId="6" fillId="2" borderId="13" xfId="1" applyFont="1" applyFill="1" applyBorder="1"/>
    <xf numFmtId="0" fontId="6" fillId="2" borderId="10" xfId="1" applyFont="1" applyFill="1" applyBorder="1"/>
    <xf numFmtId="0" fontId="6" fillId="2" borderId="14" xfId="1" applyFont="1" applyFill="1" applyBorder="1"/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16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/>
    </xf>
    <xf numFmtId="164" fontId="2" fillId="2" borderId="19" xfId="0" applyNumberFormat="1" applyFont="1" applyFill="1" applyBorder="1" applyAlignment="1" applyProtection="1">
      <alignment horizontal="center" vertical="center"/>
      <protection hidden="1"/>
    </xf>
    <xf numFmtId="164" fontId="2" fillId="2" borderId="19" xfId="0" applyNumberFormat="1" applyFont="1" applyFill="1" applyBorder="1" applyAlignment="1" applyProtection="1">
      <alignment horizontal="center"/>
      <protection hidden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2" borderId="24" xfId="0" applyFont="1" applyFill="1" applyBorder="1" applyAlignment="1" applyProtection="1">
      <alignment horizontal="center" vertical="center"/>
      <protection hidden="1"/>
    </xf>
    <xf numFmtId="0" fontId="2" fillId="2" borderId="25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Protection="1">
      <protection locked="0"/>
    </xf>
    <xf numFmtId="0" fontId="2" fillId="2" borderId="25" xfId="0" applyFont="1" applyFill="1" applyBorder="1" applyAlignment="1" applyProtection="1">
      <alignment horizontal="center"/>
      <protection hidden="1"/>
    </xf>
    <xf numFmtId="0" fontId="2" fillId="2" borderId="19" xfId="0" applyFont="1" applyFill="1" applyBorder="1" applyAlignment="1" applyProtection="1">
      <alignment horizontal="center" vertical="center"/>
      <protection hidden="1"/>
    </xf>
    <xf numFmtId="0" fontId="1" fillId="2" borderId="15" xfId="0" applyFont="1" applyFill="1" applyBorder="1" applyAlignment="1">
      <alignment horizontal="center" vertical="center"/>
    </xf>
    <xf numFmtId="1" fontId="2" fillId="2" borderId="15" xfId="0" applyNumberFormat="1" applyFont="1" applyFill="1" applyBorder="1" applyAlignment="1" applyProtection="1">
      <alignment horizontal="center" vertical="center"/>
      <protection locked="0"/>
    </xf>
    <xf numFmtId="1" fontId="2" fillId="2" borderId="18" xfId="0" applyNumberFormat="1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>
      <alignment horizontal="left" vertical="center" wrapText="1" indent="1"/>
    </xf>
    <xf numFmtId="0" fontId="1" fillId="2" borderId="0" xfId="0" applyFont="1" applyFill="1" applyAlignment="1">
      <alignment horizontal="center" vertical="center" wrapText="1"/>
    </xf>
    <xf numFmtId="0" fontId="2" fillId="2" borderId="24" xfId="0" applyFont="1" applyFill="1" applyBorder="1" applyAlignment="1" applyProtection="1">
      <alignment horizontal="left" vertical="center" wrapText="1" indent="1"/>
      <protection locked="0"/>
    </xf>
    <xf numFmtId="0" fontId="1" fillId="2" borderId="30" xfId="0" applyFont="1" applyFill="1" applyBorder="1" applyAlignment="1">
      <alignment horizontal="left" vertical="center" wrapText="1" indent="1"/>
    </xf>
    <xf numFmtId="0" fontId="1" fillId="2" borderId="31" xfId="0" applyFont="1" applyFill="1" applyBorder="1" applyAlignment="1">
      <alignment horizontal="left" vertical="center" wrapText="1" indent="1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1" fillId="2" borderId="29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hidden="1"/>
    </xf>
    <xf numFmtId="0" fontId="13" fillId="2" borderId="35" xfId="0" applyFont="1" applyFill="1" applyBorder="1" applyAlignment="1">
      <alignment horizontal="left" vertical="center" wrapText="1" indent="1"/>
    </xf>
    <xf numFmtId="0" fontId="2" fillId="2" borderId="36" xfId="0" applyFont="1" applyFill="1" applyBorder="1" applyAlignment="1">
      <alignment vertical="center" wrapText="1"/>
    </xf>
    <xf numFmtId="0" fontId="2" fillId="2" borderId="37" xfId="0" applyFont="1" applyFill="1" applyBorder="1" applyAlignment="1">
      <alignment horizontal="right" vertical="center" wrapText="1" indent="2"/>
    </xf>
    <xf numFmtId="0" fontId="2" fillId="2" borderId="0" xfId="0" applyFont="1" applyFill="1" applyAlignment="1" applyProtection="1">
      <alignment horizontal="center" vertical="center"/>
      <protection locked="0"/>
    </xf>
    <xf numFmtId="0" fontId="8" fillId="3" borderId="9" xfId="1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vertical="center"/>
    </xf>
    <xf numFmtId="0" fontId="2" fillId="2" borderId="27" xfId="0" applyFont="1" applyFill="1" applyBorder="1" applyAlignment="1">
      <alignment horizontal="center" vertical="center"/>
    </xf>
    <xf numFmtId="1" fontId="2" fillId="2" borderId="20" xfId="0" applyNumberFormat="1" applyFont="1" applyFill="1" applyBorder="1" applyAlignment="1" applyProtection="1">
      <alignment horizontal="center" vertical="center"/>
      <protection locked="0"/>
    </xf>
    <xf numFmtId="0" fontId="1" fillId="8" borderId="16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 vertical="center"/>
    </xf>
    <xf numFmtId="0" fontId="10" fillId="7" borderId="38" xfId="0" applyFont="1" applyFill="1" applyBorder="1" applyAlignment="1" applyProtection="1">
      <alignment horizontal="center" vertical="center"/>
      <protection locked="0"/>
    </xf>
    <xf numFmtId="0" fontId="9" fillId="7" borderId="16" xfId="0" applyFont="1" applyFill="1" applyBorder="1" applyAlignment="1">
      <alignment horizontal="center"/>
    </xf>
    <xf numFmtId="0" fontId="9" fillId="7" borderId="23" xfId="0" applyFont="1" applyFill="1" applyBorder="1" applyAlignment="1">
      <alignment horizontal="center"/>
    </xf>
    <xf numFmtId="0" fontId="9" fillId="7" borderId="23" xfId="0" applyFont="1" applyFill="1" applyBorder="1" applyAlignment="1">
      <alignment horizontal="left" vertical="center" wrapText="1"/>
    </xf>
    <xf numFmtId="0" fontId="9" fillId="7" borderId="16" xfId="0" applyFont="1" applyFill="1" applyBorder="1" applyAlignment="1" applyProtection="1">
      <alignment horizontal="center" vertical="center"/>
      <protection hidden="1"/>
    </xf>
    <xf numFmtId="0" fontId="9" fillId="7" borderId="17" xfId="0" applyFont="1" applyFill="1" applyBorder="1" applyAlignment="1" applyProtection="1">
      <alignment horizontal="center"/>
      <protection hidden="1"/>
    </xf>
    <xf numFmtId="0" fontId="9" fillId="7" borderId="15" xfId="0" applyFont="1" applyFill="1" applyBorder="1" applyAlignment="1" applyProtection="1">
      <alignment horizontal="center" vertical="center"/>
      <protection hidden="1"/>
    </xf>
    <xf numFmtId="0" fontId="17" fillId="2" borderId="0" xfId="0" applyFont="1" applyFill="1" applyAlignment="1">
      <alignment horizontal="center" vertical="center"/>
    </xf>
    <xf numFmtId="0" fontId="11" fillId="2" borderId="0" xfId="2" applyFill="1" applyBorder="1" applyAlignment="1" applyProtection="1">
      <alignment horizontal="center" vertical="center"/>
    </xf>
    <xf numFmtId="0" fontId="2" fillId="2" borderId="24" xfId="0" applyFont="1" applyFill="1" applyBorder="1" applyAlignment="1">
      <alignment horizontal="right" vertical="center" wrapText="1" indent="1"/>
    </xf>
    <xf numFmtId="0" fontId="2" fillId="2" borderId="0" xfId="0" applyFont="1" applyFill="1" applyAlignment="1">
      <alignment horizontal="right" vertical="center" wrapText="1" indent="1"/>
    </xf>
    <xf numFmtId="0" fontId="2" fillId="2" borderId="25" xfId="0" applyFont="1" applyFill="1" applyBorder="1" applyAlignment="1">
      <alignment horizontal="right" vertical="center" wrapText="1" indent="1"/>
    </xf>
    <xf numFmtId="0" fontId="2" fillId="0" borderId="0" xfId="2" applyFont="1" applyFill="1" applyBorder="1" applyAlignment="1" applyProtection="1">
      <alignment horizontal="center"/>
    </xf>
    <xf numFmtId="0" fontId="16" fillId="0" borderId="0" xfId="0" applyFont="1" applyAlignment="1">
      <alignment horizontal="center"/>
    </xf>
    <xf numFmtId="0" fontId="1" fillId="2" borderId="16" xfId="0" applyFont="1" applyFill="1" applyBorder="1" applyAlignment="1">
      <alignment horizontal="right" vertical="center" wrapText="1" indent="1"/>
    </xf>
    <xf numFmtId="0" fontId="1" fillId="2" borderId="23" xfId="0" applyFont="1" applyFill="1" applyBorder="1" applyAlignment="1">
      <alignment horizontal="right" vertical="center" wrapText="1" indent="1"/>
    </xf>
    <xf numFmtId="0" fontId="1" fillId="2" borderId="17" xfId="0" applyFont="1" applyFill="1" applyBorder="1" applyAlignment="1">
      <alignment horizontal="right" vertical="center" wrapText="1" indent="1"/>
    </xf>
    <xf numFmtId="0" fontId="2" fillId="2" borderId="24" xfId="0" applyFont="1" applyFill="1" applyBorder="1" applyAlignment="1">
      <alignment horizontal="right" vertical="center" wrapText="1" indent="2"/>
    </xf>
    <xf numFmtId="0" fontId="2" fillId="2" borderId="0" xfId="0" applyFont="1" applyFill="1" applyAlignment="1">
      <alignment horizontal="right" vertical="center" wrapText="1" indent="2"/>
    </xf>
    <xf numFmtId="0" fontId="1" fillId="8" borderId="16" xfId="0" applyFont="1" applyFill="1" applyBorder="1" applyAlignment="1">
      <alignment horizontal="center" vertical="center" wrapText="1"/>
    </xf>
    <xf numFmtId="0" fontId="1" fillId="8" borderId="23" xfId="0" applyFont="1" applyFill="1" applyBorder="1" applyAlignment="1">
      <alignment horizontal="center" vertical="center" wrapText="1"/>
    </xf>
    <xf numFmtId="0" fontId="1" fillId="8" borderId="17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right" vertical="center" wrapText="1" indent="2"/>
    </xf>
    <xf numFmtId="0" fontId="1" fillId="2" borderId="28" xfId="0" applyFont="1" applyFill="1" applyBorder="1" applyAlignment="1">
      <alignment horizontal="right" vertical="center" wrapText="1" indent="2"/>
    </xf>
    <xf numFmtId="0" fontId="1" fillId="2" borderId="21" xfId="0" applyFont="1" applyFill="1" applyBorder="1" applyAlignment="1">
      <alignment horizontal="right" vertical="center" wrapText="1" indent="2"/>
    </xf>
    <xf numFmtId="0" fontId="1" fillId="2" borderId="42" xfId="0" applyFont="1" applyFill="1" applyBorder="1" applyAlignment="1">
      <alignment horizontal="right" vertical="center" wrapText="1" indent="2"/>
    </xf>
    <xf numFmtId="0" fontId="2" fillId="2" borderId="0" xfId="0" applyFont="1" applyFill="1" applyAlignment="1" applyProtection="1">
      <alignment horizontal="left" vertical="center"/>
      <protection locked="0"/>
    </xf>
    <xf numFmtId="0" fontId="10" fillId="7" borderId="40" xfId="0" applyFont="1" applyFill="1" applyBorder="1" applyAlignment="1">
      <alignment horizontal="center" vertical="center"/>
    </xf>
    <xf numFmtId="0" fontId="9" fillId="7" borderId="39" xfId="0" applyFont="1" applyFill="1" applyBorder="1" applyAlignment="1" applyProtection="1">
      <alignment horizontal="center" vertical="center"/>
      <protection locked="0"/>
    </xf>
    <xf numFmtId="0" fontId="9" fillId="7" borderId="41" xfId="0" applyFont="1" applyFill="1" applyBorder="1" applyAlignment="1" applyProtection="1">
      <alignment horizontal="center" vertical="center"/>
      <protection locked="0"/>
    </xf>
    <xf numFmtId="0" fontId="15" fillId="8" borderId="16" xfId="0" applyFont="1" applyFill="1" applyBorder="1" applyAlignment="1">
      <alignment horizontal="center" vertical="center"/>
    </xf>
    <xf numFmtId="0" fontId="15" fillId="8" borderId="23" xfId="0" applyFont="1" applyFill="1" applyBorder="1" applyAlignment="1">
      <alignment horizontal="center" vertical="center"/>
    </xf>
    <xf numFmtId="0" fontId="15" fillId="8" borderId="17" xfId="0" applyFont="1" applyFill="1" applyBorder="1" applyAlignment="1">
      <alignment horizontal="center" vertical="center"/>
    </xf>
    <xf numFmtId="1" fontId="15" fillId="8" borderId="16" xfId="0" applyNumberFormat="1" applyFont="1" applyFill="1" applyBorder="1" applyAlignment="1">
      <alignment horizontal="center" vertical="center"/>
    </xf>
    <xf numFmtId="1" fontId="15" fillId="8" borderId="23" xfId="0" applyNumberFormat="1" applyFont="1" applyFill="1" applyBorder="1" applyAlignment="1">
      <alignment horizontal="center" vertical="center"/>
    </xf>
    <xf numFmtId="1" fontId="15" fillId="8" borderId="17" xfId="0" applyNumberFormat="1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left" vertical="center" indent="1"/>
    </xf>
    <xf numFmtId="0" fontId="1" fillId="8" borderId="23" xfId="0" applyFont="1" applyFill="1" applyBorder="1" applyAlignment="1">
      <alignment horizontal="left" vertical="center" indent="1"/>
    </xf>
    <xf numFmtId="0" fontId="2" fillId="2" borderId="24" xfId="0" applyFont="1" applyFill="1" applyBorder="1" applyAlignment="1">
      <alignment horizontal="right" vertical="center" indent="2"/>
    </xf>
    <xf numFmtId="0" fontId="2" fillId="2" borderId="0" xfId="0" applyFont="1" applyFill="1" applyAlignment="1">
      <alignment horizontal="right" vertical="center" indent="2"/>
    </xf>
    <xf numFmtId="0" fontId="2" fillId="2" borderId="25" xfId="0" applyFont="1" applyFill="1" applyBorder="1" applyAlignment="1">
      <alignment horizontal="right" vertical="center" indent="2"/>
    </xf>
    <xf numFmtId="0" fontId="8" fillId="3" borderId="9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left"/>
    </xf>
    <xf numFmtId="0" fontId="7" fillId="6" borderId="2" xfId="1" applyFont="1" applyFill="1" applyBorder="1" applyAlignment="1">
      <alignment horizontal="left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2</xdr:row>
          <xdr:rowOff>0</xdr:rowOff>
        </xdr:from>
        <xdr:to>
          <xdr:col>10</xdr:col>
          <xdr:colOff>0</xdr:colOff>
          <xdr:row>3</xdr:row>
          <xdr:rowOff>209550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142875</xdr:colOff>
          <xdr:row>4</xdr:row>
          <xdr:rowOff>9525</xdr:rowOff>
        </xdr:from>
        <xdr:to>
          <xdr:col>10</xdr:col>
          <xdr:colOff>9525</xdr:colOff>
          <xdr:row>5</xdr:row>
          <xdr:rowOff>219075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19050</xdr:colOff>
      <xdr:row>17</xdr:row>
      <xdr:rowOff>133350</xdr:rowOff>
    </xdr:from>
    <xdr:to>
      <xdr:col>4</xdr:col>
      <xdr:colOff>219075</xdr:colOff>
      <xdr:row>17</xdr:row>
      <xdr:rowOff>133350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3381375" y="4381500"/>
          <a:ext cx="352425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18</xdr:row>
      <xdr:rowOff>133350</xdr:rowOff>
    </xdr:from>
    <xdr:to>
      <xdr:col>4</xdr:col>
      <xdr:colOff>219075</xdr:colOff>
      <xdr:row>18</xdr:row>
      <xdr:rowOff>133350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3381375" y="4629150"/>
          <a:ext cx="352425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142875</xdr:colOff>
          <xdr:row>0</xdr:row>
          <xdr:rowOff>57150</xdr:rowOff>
        </xdr:from>
        <xdr:to>
          <xdr:col>10</xdr:col>
          <xdr:colOff>9525</xdr:colOff>
          <xdr:row>1</xdr:row>
          <xdr:rowOff>209550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gcservicesblog.com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Z130"/>
  <sheetViews>
    <sheetView tabSelected="1" zoomScaleNormal="100" workbookViewId="0">
      <selection activeCell="J8" sqref="J8"/>
    </sheetView>
  </sheetViews>
  <sheetFormatPr defaultColWidth="0" defaultRowHeight="15" zeroHeight="1" x14ac:dyDescent="0.25"/>
  <cols>
    <col min="1" max="1" width="9.28515625" style="1" customWidth="1"/>
    <col min="2" max="2" width="2" style="47" customWidth="1"/>
    <col min="3" max="3" width="39.140625" style="47" customWidth="1"/>
    <col min="4" max="4" width="2.28515625" style="47" bestFit="1" customWidth="1"/>
    <col min="5" max="5" width="26.140625" style="47" customWidth="1"/>
    <col min="6" max="6" width="29.7109375" style="47" bestFit="1" customWidth="1"/>
    <col min="7" max="7" width="2.28515625" style="47" bestFit="1" customWidth="1"/>
    <col min="8" max="8" width="25.85546875" style="47" bestFit="1" customWidth="1"/>
    <col min="9" max="9" width="2.28515625" style="47" customWidth="1"/>
    <col min="10" max="10" width="19.7109375" style="36" customWidth="1"/>
    <col min="11" max="11" width="6.140625" style="36" customWidth="1"/>
    <col min="12" max="14" width="12.5703125" style="35" hidden="1" customWidth="1"/>
    <col min="15" max="26" width="0" style="1" hidden="1" customWidth="1"/>
    <col min="27" max="16384" width="9.140625" style="1" hidden="1"/>
  </cols>
  <sheetData>
    <row r="1" spans="1:11" ht="24.75" customHeight="1" x14ac:dyDescent="0.25">
      <c r="A1" s="38"/>
      <c r="B1" s="39"/>
      <c r="C1" s="132" t="s">
        <v>2</v>
      </c>
      <c r="D1" s="133"/>
      <c r="E1" s="131" t="s">
        <v>143</v>
      </c>
      <c r="F1" s="131"/>
      <c r="G1" s="131"/>
      <c r="H1" s="104" t="s">
        <v>45</v>
      </c>
      <c r="I1" s="39"/>
      <c r="J1" s="37"/>
      <c r="K1" s="37"/>
    </row>
    <row r="2" spans="1:11" ht="20.25" customHeight="1" x14ac:dyDescent="0.25">
      <c r="A2" s="38"/>
      <c r="B2" s="38"/>
      <c r="C2" s="98" t="s">
        <v>84</v>
      </c>
      <c r="D2" s="99"/>
      <c r="E2" s="100">
        <v>0</v>
      </c>
      <c r="F2" s="98" t="s">
        <v>133</v>
      </c>
      <c r="G2" s="99"/>
      <c r="H2" s="100">
        <v>0</v>
      </c>
      <c r="I2" s="39"/>
      <c r="J2" s="37"/>
      <c r="K2" s="37"/>
    </row>
    <row r="3" spans="1:11" ht="20.25" customHeight="1" x14ac:dyDescent="0.25">
      <c r="A3" s="38"/>
      <c r="B3" s="39"/>
      <c r="C3" s="40" t="s">
        <v>28</v>
      </c>
      <c r="D3" s="41"/>
      <c r="E3" s="80">
        <f>E2/2</f>
        <v>0</v>
      </c>
      <c r="F3" s="40" t="s">
        <v>134</v>
      </c>
      <c r="G3" s="41"/>
      <c r="H3" s="80">
        <v>0</v>
      </c>
      <c r="I3" s="39"/>
      <c r="J3" s="37"/>
      <c r="K3" s="37"/>
    </row>
    <row r="4" spans="1:11" ht="20.25" customHeight="1" x14ac:dyDescent="0.25">
      <c r="A4" s="38"/>
      <c r="B4" s="39"/>
      <c r="C4" s="40" t="s">
        <v>30</v>
      </c>
      <c r="D4" s="41"/>
      <c r="E4" s="80">
        <v>0</v>
      </c>
      <c r="F4" s="40" t="s">
        <v>135</v>
      </c>
      <c r="G4" s="41"/>
      <c r="H4" s="80">
        <v>0</v>
      </c>
      <c r="I4" s="39"/>
      <c r="J4" s="37"/>
      <c r="K4" s="37"/>
    </row>
    <row r="5" spans="1:11" ht="20.25" customHeight="1" x14ac:dyDescent="0.25">
      <c r="A5" s="38"/>
      <c r="B5" s="39"/>
      <c r="C5" s="40" t="s">
        <v>31</v>
      </c>
      <c r="D5" s="41"/>
      <c r="E5" s="80">
        <v>0</v>
      </c>
      <c r="F5" s="40" t="s">
        <v>136</v>
      </c>
      <c r="G5" s="41"/>
      <c r="H5" s="80">
        <v>0</v>
      </c>
      <c r="I5" s="39"/>
      <c r="J5" s="37"/>
      <c r="K5" s="37"/>
    </row>
    <row r="6" spans="1:11" ht="20.25" customHeight="1" x14ac:dyDescent="0.25">
      <c r="A6" s="38"/>
      <c r="B6" s="39"/>
      <c r="C6" s="40" t="s">
        <v>34</v>
      </c>
      <c r="D6" s="41"/>
      <c r="E6" s="80">
        <v>0</v>
      </c>
      <c r="F6" s="40" t="s">
        <v>141</v>
      </c>
      <c r="G6" s="41"/>
      <c r="H6" s="80">
        <v>0</v>
      </c>
      <c r="I6" s="39"/>
      <c r="J6" s="37"/>
      <c r="K6" s="37"/>
    </row>
    <row r="7" spans="1:11" ht="20.25" customHeight="1" x14ac:dyDescent="0.25">
      <c r="A7" s="38"/>
      <c r="B7" s="39"/>
      <c r="C7" s="40" t="s">
        <v>35</v>
      </c>
      <c r="D7" s="41"/>
      <c r="E7" s="80">
        <v>0</v>
      </c>
      <c r="F7" s="40" t="s">
        <v>33</v>
      </c>
      <c r="G7" s="41"/>
      <c r="H7" s="80">
        <v>0</v>
      </c>
      <c r="I7" s="39"/>
      <c r="J7" s="37"/>
      <c r="K7" s="37"/>
    </row>
    <row r="8" spans="1:11" ht="20.25" customHeight="1" x14ac:dyDescent="0.25">
      <c r="A8" s="38"/>
      <c r="B8" s="39"/>
      <c r="C8" s="40" t="s">
        <v>29</v>
      </c>
      <c r="D8" s="41"/>
      <c r="E8" s="80">
        <v>0</v>
      </c>
      <c r="F8" s="40" t="s">
        <v>38</v>
      </c>
      <c r="G8" s="41"/>
      <c r="H8" s="80">
        <f>MAX((E10+E26)-750000,0)</f>
        <v>0</v>
      </c>
      <c r="I8" s="39"/>
      <c r="J8" s="37"/>
      <c r="K8" s="37"/>
    </row>
    <row r="9" spans="1:11" ht="20.25" customHeight="1" x14ac:dyDescent="0.25">
      <c r="A9" s="38"/>
      <c r="B9" s="39"/>
      <c r="C9" s="40" t="s">
        <v>132</v>
      </c>
      <c r="D9" s="41"/>
      <c r="E9" s="80">
        <v>0</v>
      </c>
      <c r="F9" s="40" t="s">
        <v>78</v>
      </c>
      <c r="G9" s="41"/>
      <c r="H9" s="80">
        <v>0</v>
      </c>
      <c r="I9" s="39"/>
      <c r="J9" s="37"/>
      <c r="K9" s="37"/>
    </row>
    <row r="10" spans="1:11" ht="20.25" customHeight="1" x14ac:dyDescent="0.25">
      <c r="A10" s="38"/>
      <c r="B10" s="39"/>
      <c r="C10" s="43" t="s">
        <v>37</v>
      </c>
      <c r="D10" s="44"/>
      <c r="E10" s="81">
        <v>0</v>
      </c>
      <c r="F10" s="43" t="s">
        <v>32</v>
      </c>
      <c r="G10" s="44"/>
      <c r="H10" s="50" t="s">
        <v>127</v>
      </c>
      <c r="I10" s="39"/>
      <c r="J10" s="37"/>
      <c r="K10" s="37"/>
    </row>
    <row r="11" spans="1:11" ht="20.25" customHeight="1" x14ac:dyDescent="0.25">
      <c r="A11" s="38"/>
      <c r="B11" s="39"/>
      <c r="C11" s="134" t="s">
        <v>36</v>
      </c>
      <c r="D11" s="135"/>
      <c r="E11" s="136"/>
      <c r="F11" s="137">
        <f>SUM(E2:E10,H2:H7)</f>
        <v>0</v>
      </c>
      <c r="G11" s="138"/>
      <c r="H11" s="139"/>
      <c r="I11" s="39"/>
      <c r="J11" s="37"/>
      <c r="K11" s="37"/>
    </row>
    <row r="12" spans="1:11" ht="9" customHeight="1" x14ac:dyDescent="0.25">
      <c r="A12" s="38"/>
      <c r="B12" s="39"/>
      <c r="C12" s="73"/>
      <c r="D12" s="45"/>
      <c r="E12" s="45"/>
      <c r="F12" s="46"/>
      <c r="G12" s="46"/>
      <c r="H12" s="74"/>
      <c r="J12" s="37"/>
      <c r="K12" s="37"/>
    </row>
    <row r="13" spans="1:11" ht="20.25" customHeight="1" x14ac:dyDescent="0.25">
      <c r="A13" s="38"/>
      <c r="B13" s="39"/>
      <c r="C13" s="140" t="s">
        <v>77</v>
      </c>
      <c r="D13" s="141"/>
      <c r="E13" s="141"/>
      <c r="F13" s="101" t="s">
        <v>138</v>
      </c>
      <c r="G13" s="102"/>
      <c r="H13" s="103" t="s">
        <v>139</v>
      </c>
      <c r="I13" s="39"/>
      <c r="J13" s="130" t="str">
        <f>IF(E2&gt;12,IF(H62&gt;0,"{New Regime} Beneficial","{Old Regime} Beneficial"),"")</f>
        <v/>
      </c>
      <c r="K13" s="130"/>
    </row>
    <row r="14" spans="1:11" ht="19.5" customHeight="1" x14ac:dyDescent="0.25">
      <c r="A14" s="38"/>
      <c r="B14" s="39"/>
      <c r="C14" s="142" t="s">
        <v>79</v>
      </c>
      <c r="D14" s="143"/>
      <c r="E14" s="143"/>
      <c r="F14" s="51">
        <f>ROUND((F11*12+H8),0)</f>
        <v>0</v>
      </c>
      <c r="G14" s="52"/>
      <c r="H14" s="54">
        <f>ROUND((F11*12+H8),0)</f>
        <v>0</v>
      </c>
      <c r="I14" s="39"/>
      <c r="J14" s="37"/>
      <c r="K14" s="37"/>
    </row>
    <row r="15" spans="1:11" ht="19.5" customHeight="1" x14ac:dyDescent="0.25">
      <c r="A15" s="38"/>
      <c r="B15" s="39"/>
      <c r="C15" s="142" t="s">
        <v>131</v>
      </c>
      <c r="D15" s="143"/>
      <c r="E15" s="144"/>
      <c r="F15" s="51">
        <f>ROUND(SUM(MIN(E9,10400),MIN(H2,6000),MIN(H3,18000),H4,H5,H6)*12,0)</f>
        <v>0</v>
      </c>
      <c r="G15" s="52"/>
      <c r="H15" s="54">
        <f>ROUND(SUM(H6)*12,0)</f>
        <v>0</v>
      </c>
      <c r="I15" s="39"/>
      <c r="J15" s="37"/>
      <c r="K15" s="37"/>
    </row>
    <row r="16" spans="1:11" ht="19.5" customHeight="1" x14ac:dyDescent="0.25">
      <c r="A16" s="38"/>
      <c r="B16" s="39"/>
      <c r="C16" s="121" t="s">
        <v>80</v>
      </c>
      <c r="D16" s="122"/>
      <c r="E16" s="122"/>
      <c r="F16" s="71">
        <f>IF(F14&gt;12,IFERROR(VLOOKUP($H$1,$C$78:$E$116,3,0),0),0)</f>
        <v>0</v>
      </c>
      <c r="G16" s="52"/>
      <c r="H16" s="62">
        <v>0</v>
      </c>
      <c r="I16" s="39"/>
      <c r="J16" s="37"/>
      <c r="K16" s="37"/>
    </row>
    <row r="17" spans="1:11" ht="19.5" customHeight="1" x14ac:dyDescent="0.25">
      <c r="A17" s="38"/>
      <c r="B17" s="39"/>
      <c r="C17" s="121" t="s">
        <v>81</v>
      </c>
      <c r="D17" s="122"/>
      <c r="E17" s="122"/>
      <c r="F17" s="71">
        <f>MAX(MIN(F14,50000),0)</f>
        <v>0</v>
      </c>
      <c r="G17" s="52"/>
      <c r="H17" s="78">
        <f>MAX(MIN(H14,75000),0)</f>
        <v>0</v>
      </c>
      <c r="I17" s="39"/>
      <c r="J17" s="37"/>
      <c r="K17" s="37"/>
    </row>
    <row r="18" spans="1:11" ht="19.5" customHeight="1" x14ac:dyDescent="0.25">
      <c r="A18" s="38"/>
      <c r="B18" s="39"/>
      <c r="C18" s="93" t="s">
        <v>130</v>
      </c>
      <c r="D18" s="94"/>
      <c r="E18" s="95" t="s">
        <v>129</v>
      </c>
      <c r="F18" s="92">
        <f>E122</f>
        <v>0</v>
      </c>
      <c r="G18" s="52"/>
      <c r="H18" s="63">
        <v>0</v>
      </c>
      <c r="I18" s="39"/>
      <c r="J18" s="37"/>
      <c r="K18" s="37"/>
    </row>
    <row r="19" spans="1:11" ht="19.5" customHeight="1" x14ac:dyDescent="0.25">
      <c r="A19" s="38"/>
      <c r="B19" s="39"/>
      <c r="C19" s="93" t="s">
        <v>137</v>
      </c>
      <c r="D19" s="94"/>
      <c r="E19" s="95" t="s">
        <v>128</v>
      </c>
      <c r="F19" s="96">
        <f>MIN((E8*12),200000)</f>
        <v>0</v>
      </c>
      <c r="G19" s="52"/>
      <c r="H19" s="63">
        <v>0</v>
      </c>
      <c r="I19" s="39"/>
      <c r="J19" s="37"/>
      <c r="K19" s="37"/>
    </row>
    <row r="20" spans="1:11" ht="19.5" customHeight="1" x14ac:dyDescent="0.25">
      <c r="A20" s="38"/>
      <c r="B20" s="39" t="s">
        <v>89</v>
      </c>
      <c r="C20" s="126" t="s">
        <v>108</v>
      </c>
      <c r="D20" s="127"/>
      <c r="E20" s="127"/>
      <c r="F20" s="60">
        <f>ROUND(F14-F15-F16-F17-F18-F19,0)</f>
        <v>0</v>
      </c>
      <c r="G20" s="61"/>
      <c r="H20" s="79">
        <f>ROUND(H14-H15-H17,0)</f>
        <v>0</v>
      </c>
      <c r="I20" s="39"/>
      <c r="J20" s="37"/>
      <c r="K20" s="37"/>
    </row>
    <row r="21" spans="1:11" ht="19.5" customHeight="1" x14ac:dyDescent="0.25">
      <c r="A21" s="38"/>
      <c r="B21" s="39"/>
      <c r="C21" s="121" t="s">
        <v>103</v>
      </c>
      <c r="D21" s="122"/>
      <c r="E21" s="122"/>
      <c r="F21" s="56">
        <v>0</v>
      </c>
      <c r="G21" s="72"/>
      <c r="H21" s="62">
        <v>0</v>
      </c>
      <c r="I21" s="39"/>
      <c r="J21" s="37"/>
      <c r="K21" s="37"/>
    </row>
    <row r="22" spans="1:11" ht="19.5" customHeight="1" x14ac:dyDescent="0.25">
      <c r="A22" s="38"/>
      <c r="B22" s="39"/>
      <c r="C22" s="121" t="s">
        <v>107</v>
      </c>
      <c r="D22" s="122"/>
      <c r="E22" s="122"/>
      <c r="F22" s="56">
        <v>0</v>
      </c>
      <c r="G22" s="72"/>
      <c r="H22" s="54">
        <f>F22</f>
        <v>0</v>
      </c>
      <c r="I22" s="39"/>
      <c r="J22" s="37"/>
      <c r="K22" s="37"/>
    </row>
    <row r="23" spans="1:11" ht="19.5" customHeight="1" x14ac:dyDescent="0.25">
      <c r="A23" s="38"/>
      <c r="B23" s="39"/>
      <c r="C23" s="121" t="s">
        <v>109</v>
      </c>
      <c r="D23" s="122"/>
      <c r="E23" s="122"/>
      <c r="F23" s="56">
        <v>0</v>
      </c>
      <c r="G23" s="72"/>
      <c r="H23" s="54">
        <f>F23</f>
        <v>0</v>
      </c>
      <c r="I23" s="39"/>
      <c r="J23" s="37"/>
      <c r="K23" s="37"/>
    </row>
    <row r="24" spans="1:11" ht="19.5" customHeight="1" x14ac:dyDescent="0.25">
      <c r="A24" s="38"/>
      <c r="B24" s="39" t="s">
        <v>89</v>
      </c>
      <c r="C24" s="128" t="s">
        <v>90</v>
      </c>
      <c r="D24" s="129"/>
      <c r="E24" s="129"/>
      <c r="F24" s="60">
        <f>ROUND(F20+F21+F22+F23,0)</f>
        <v>0</v>
      </c>
      <c r="G24" s="61"/>
      <c r="H24" s="79">
        <f>ROUND(H20+H22+H23,0)</f>
        <v>0</v>
      </c>
      <c r="I24" s="39"/>
      <c r="J24" s="37"/>
      <c r="K24" s="37"/>
    </row>
    <row r="25" spans="1:11" ht="19.5" customHeight="1" x14ac:dyDescent="0.25">
      <c r="A25" s="38"/>
      <c r="B25" s="39"/>
      <c r="C25" s="123" t="s">
        <v>123</v>
      </c>
      <c r="D25" s="124"/>
      <c r="E25" s="125"/>
      <c r="F25" s="46"/>
      <c r="G25" s="52"/>
      <c r="H25" s="55"/>
      <c r="I25" s="39"/>
      <c r="J25" s="37"/>
      <c r="K25" s="37"/>
    </row>
    <row r="26" spans="1:11" ht="18" customHeight="1" x14ac:dyDescent="0.25">
      <c r="A26" s="38"/>
      <c r="B26" s="39"/>
      <c r="C26" s="82" t="s">
        <v>110</v>
      </c>
      <c r="D26" s="83"/>
      <c r="E26" s="87">
        <f>(E2*12)*12%</f>
        <v>0</v>
      </c>
      <c r="F26" s="46"/>
      <c r="G26" s="52"/>
      <c r="H26" s="55"/>
      <c r="I26" s="39"/>
      <c r="J26" s="37"/>
      <c r="K26" s="37"/>
    </row>
    <row r="27" spans="1:11" ht="18" customHeight="1" x14ac:dyDescent="0.25">
      <c r="A27" s="38"/>
      <c r="B27" s="39"/>
      <c r="C27" s="82" t="s">
        <v>111</v>
      </c>
      <c r="D27" s="83"/>
      <c r="E27" s="87">
        <v>0</v>
      </c>
      <c r="F27" s="46"/>
      <c r="G27" s="52"/>
      <c r="H27" s="55"/>
      <c r="I27" s="39"/>
      <c r="J27" s="37"/>
      <c r="K27" s="37"/>
    </row>
    <row r="28" spans="1:11" ht="18" customHeight="1" x14ac:dyDescent="0.25">
      <c r="A28" s="38"/>
      <c r="B28" s="39"/>
      <c r="C28" s="82" t="s">
        <v>112</v>
      </c>
      <c r="D28" s="83"/>
      <c r="E28" s="87">
        <v>0</v>
      </c>
      <c r="F28" s="46"/>
      <c r="G28" s="52"/>
      <c r="H28" s="55"/>
      <c r="I28" s="39"/>
      <c r="J28" s="37"/>
      <c r="K28" s="37"/>
    </row>
    <row r="29" spans="1:11" ht="18" customHeight="1" x14ac:dyDescent="0.25">
      <c r="A29" s="38"/>
      <c r="B29" s="39"/>
      <c r="C29" s="82" t="s">
        <v>113</v>
      </c>
      <c r="D29" s="83"/>
      <c r="E29" s="87">
        <v>0</v>
      </c>
      <c r="F29" s="46"/>
      <c r="G29" s="52"/>
      <c r="H29" s="55"/>
      <c r="I29" s="39"/>
      <c r="J29" s="37"/>
      <c r="K29" s="37"/>
    </row>
    <row r="30" spans="1:11" ht="18" customHeight="1" x14ac:dyDescent="0.25">
      <c r="A30" s="38"/>
      <c r="B30" s="39"/>
      <c r="C30" s="82" t="s">
        <v>114</v>
      </c>
      <c r="D30" s="83"/>
      <c r="E30" s="87">
        <v>0</v>
      </c>
      <c r="F30" s="46"/>
      <c r="G30" s="52"/>
      <c r="H30" s="55"/>
      <c r="I30" s="39"/>
      <c r="J30" s="37"/>
      <c r="K30" s="37"/>
    </row>
    <row r="31" spans="1:11" ht="18" customHeight="1" x14ac:dyDescent="0.25">
      <c r="A31" s="38"/>
      <c r="B31" s="39"/>
      <c r="C31" s="82" t="s">
        <v>115</v>
      </c>
      <c r="D31" s="83"/>
      <c r="E31" s="87">
        <v>0</v>
      </c>
      <c r="F31" s="46"/>
      <c r="G31" s="52"/>
      <c r="H31" s="55"/>
      <c r="I31" s="39"/>
      <c r="J31" s="37"/>
      <c r="K31" s="37"/>
    </row>
    <row r="32" spans="1:11" ht="18" customHeight="1" x14ac:dyDescent="0.25">
      <c r="A32" s="38"/>
      <c r="B32" s="39"/>
      <c r="C32" s="82" t="s">
        <v>116</v>
      </c>
      <c r="D32" s="83"/>
      <c r="E32" s="87">
        <v>0</v>
      </c>
      <c r="F32" s="46"/>
      <c r="G32" s="52"/>
      <c r="H32" s="55"/>
      <c r="I32" s="39"/>
      <c r="J32" s="37"/>
      <c r="K32" s="37"/>
    </row>
    <row r="33" spans="1:11" ht="18" customHeight="1" x14ac:dyDescent="0.25">
      <c r="A33" s="38"/>
      <c r="B33" s="39"/>
      <c r="C33" s="82" t="s">
        <v>117</v>
      </c>
      <c r="D33" s="83"/>
      <c r="E33" s="87">
        <v>0</v>
      </c>
      <c r="F33" s="46"/>
      <c r="G33" s="52"/>
      <c r="H33" s="55"/>
      <c r="I33" s="39"/>
      <c r="J33" s="37"/>
      <c r="K33" s="37"/>
    </row>
    <row r="34" spans="1:11" ht="18" customHeight="1" x14ac:dyDescent="0.25">
      <c r="A34" s="38"/>
      <c r="B34" s="39"/>
      <c r="C34" s="82" t="s">
        <v>118</v>
      </c>
      <c r="D34" s="83"/>
      <c r="E34" s="87">
        <v>0</v>
      </c>
      <c r="F34" s="46"/>
      <c r="G34" s="52"/>
      <c r="H34" s="55"/>
      <c r="I34" s="39"/>
      <c r="J34" s="37"/>
      <c r="K34" s="37"/>
    </row>
    <row r="35" spans="1:11" ht="18" customHeight="1" x14ac:dyDescent="0.25">
      <c r="A35" s="38"/>
      <c r="B35" s="39"/>
      <c r="C35" s="82" t="s">
        <v>119</v>
      </c>
      <c r="D35" s="83"/>
      <c r="E35" s="87">
        <v>0</v>
      </c>
      <c r="F35" s="46"/>
      <c r="G35" s="52"/>
      <c r="H35" s="55"/>
      <c r="I35" s="39"/>
      <c r="J35" s="37"/>
      <c r="K35" s="37"/>
    </row>
    <row r="36" spans="1:11" ht="18" customHeight="1" x14ac:dyDescent="0.25">
      <c r="A36" s="38"/>
      <c r="B36" s="39"/>
      <c r="C36" s="82" t="s">
        <v>120</v>
      </c>
      <c r="D36" s="83"/>
      <c r="E36" s="87">
        <v>0</v>
      </c>
      <c r="F36" s="46"/>
      <c r="G36" s="52"/>
      <c r="H36" s="55"/>
      <c r="I36" s="39"/>
      <c r="J36" s="37"/>
      <c r="K36" s="37"/>
    </row>
    <row r="37" spans="1:11" ht="18" customHeight="1" x14ac:dyDescent="0.25">
      <c r="A37" s="38"/>
      <c r="B37" s="39"/>
      <c r="C37" s="82" t="s">
        <v>121</v>
      </c>
      <c r="D37" s="83"/>
      <c r="E37" s="87">
        <v>0</v>
      </c>
      <c r="F37" s="46"/>
      <c r="G37" s="52"/>
      <c r="H37" s="55"/>
      <c r="I37" s="39"/>
      <c r="J37" s="37"/>
      <c r="K37" s="37"/>
    </row>
    <row r="38" spans="1:11" ht="18" customHeight="1" x14ac:dyDescent="0.25">
      <c r="A38" s="38"/>
      <c r="B38" s="39"/>
      <c r="C38" s="84" t="s">
        <v>122</v>
      </c>
      <c r="D38" s="83"/>
      <c r="E38" s="87">
        <v>0</v>
      </c>
      <c r="F38" s="46"/>
      <c r="G38" s="52"/>
      <c r="H38" s="55"/>
      <c r="I38" s="39"/>
      <c r="J38" s="37"/>
      <c r="K38" s="37"/>
    </row>
    <row r="39" spans="1:11" ht="18" customHeight="1" x14ac:dyDescent="0.25">
      <c r="A39" s="38"/>
      <c r="B39" s="39"/>
      <c r="C39" s="82" t="s">
        <v>126</v>
      </c>
      <c r="D39" s="83"/>
      <c r="E39" s="87">
        <v>0</v>
      </c>
      <c r="F39" s="46"/>
      <c r="G39" s="52"/>
      <c r="H39" s="55"/>
      <c r="I39" s="39"/>
      <c r="J39" s="37"/>
      <c r="K39" s="37"/>
    </row>
    <row r="40" spans="1:11" ht="19.5" customHeight="1" x14ac:dyDescent="0.25">
      <c r="A40" s="38"/>
      <c r="B40" s="39"/>
      <c r="C40" s="85" t="s">
        <v>124</v>
      </c>
      <c r="D40" s="86"/>
      <c r="E40" s="88">
        <f>SUM(E26:E39)</f>
        <v>0</v>
      </c>
      <c r="F40" s="91">
        <f>MIN(E40,150000)</f>
        <v>0</v>
      </c>
      <c r="G40" s="89"/>
      <c r="H40" s="90" t="s">
        <v>125</v>
      </c>
      <c r="I40" s="39"/>
      <c r="J40" s="37"/>
      <c r="K40" s="37"/>
    </row>
    <row r="41" spans="1:11" ht="19.5" customHeight="1" x14ac:dyDescent="0.25">
      <c r="A41" s="38"/>
      <c r="B41" s="39"/>
      <c r="C41" s="113" t="s">
        <v>92</v>
      </c>
      <c r="D41" s="114"/>
      <c r="E41" s="115"/>
      <c r="F41" s="56">
        <v>0</v>
      </c>
      <c r="G41" s="52"/>
      <c r="H41" s="63">
        <v>0</v>
      </c>
      <c r="I41" s="39"/>
      <c r="J41" s="37"/>
      <c r="K41" s="37"/>
    </row>
    <row r="42" spans="1:11" ht="19.5" customHeight="1" x14ac:dyDescent="0.25">
      <c r="A42" s="38"/>
      <c r="B42" s="39"/>
      <c r="C42" s="113" t="s">
        <v>93</v>
      </c>
      <c r="D42" s="114"/>
      <c r="E42" s="115"/>
      <c r="F42" s="56">
        <v>0</v>
      </c>
      <c r="G42" s="52"/>
      <c r="H42" s="63">
        <v>0</v>
      </c>
      <c r="I42" s="39"/>
      <c r="J42" s="37"/>
      <c r="K42" s="37"/>
    </row>
    <row r="43" spans="1:11" ht="19.5" customHeight="1" x14ac:dyDescent="0.25">
      <c r="A43" s="38"/>
      <c r="B43" s="39"/>
      <c r="C43" s="113" t="s">
        <v>94</v>
      </c>
      <c r="D43" s="114"/>
      <c r="E43" s="115"/>
      <c r="F43" s="51">
        <f>ROUND(MIN(((E2*12)*10%),E10*12),0)</f>
        <v>0</v>
      </c>
      <c r="G43" s="52"/>
      <c r="H43" s="55">
        <f>ROUND(MIN(((E2*12)*14%),E10*12),0)</f>
        <v>0</v>
      </c>
      <c r="I43" s="39"/>
      <c r="J43" s="37"/>
      <c r="K43" s="37"/>
    </row>
    <row r="44" spans="1:11" ht="19.5" customHeight="1" x14ac:dyDescent="0.25">
      <c r="A44" s="38"/>
      <c r="B44" s="39"/>
      <c r="C44" s="113" t="s">
        <v>95</v>
      </c>
      <c r="D44" s="114"/>
      <c r="E44" s="115"/>
      <c r="F44" s="56">
        <v>0</v>
      </c>
      <c r="G44" s="52"/>
      <c r="H44" s="63">
        <v>0</v>
      </c>
      <c r="I44" s="39"/>
      <c r="J44" s="37"/>
      <c r="K44" s="37"/>
    </row>
    <row r="45" spans="1:11" ht="19.5" customHeight="1" x14ac:dyDescent="0.25">
      <c r="A45" s="38"/>
      <c r="B45" s="39"/>
      <c r="C45" s="113" t="s">
        <v>96</v>
      </c>
      <c r="D45" s="114"/>
      <c r="E45" s="115"/>
      <c r="F45" s="56">
        <v>0</v>
      </c>
      <c r="G45" s="52"/>
      <c r="H45" s="63">
        <v>0</v>
      </c>
      <c r="I45" s="39"/>
      <c r="J45" s="37"/>
      <c r="K45" s="37"/>
    </row>
    <row r="46" spans="1:11" ht="19.5" customHeight="1" x14ac:dyDescent="0.25">
      <c r="A46" s="38"/>
      <c r="B46" s="39"/>
      <c r="C46" s="113" t="s">
        <v>97</v>
      </c>
      <c r="D46" s="114"/>
      <c r="E46" s="115"/>
      <c r="F46" s="56">
        <v>0</v>
      </c>
      <c r="G46" s="52"/>
      <c r="H46" s="63">
        <v>0</v>
      </c>
      <c r="I46" s="39"/>
      <c r="J46" s="37"/>
      <c r="K46" s="37"/>
    </row>
    <row r="47" spans="1:11" ht="19.5" customHeight="1" x14ac:dyDescent="0.25">
      <c r="A47" s="38"/>
      <c r="B47" s="39"/>
      <c r="C47" s="113" t="s">
        <v>98</v>
      </c>
      <c r="D47" s="114"/>
      <c r="E47" s="115"/>
      <c r="F47" s="56">
        <v>0</v>
      </c>
      <c r="G47" s="52"/>
      <c r="H47" s="63">
        <v>0</v>
      </c>
      <c r="I47" s="39"/>
      <c r="J47" s="37"/>
      <c r="K47" s="37"/>
    </row>
    <row r="48" spans="1:11" ht="19.5" customHeight="1" x14ac:dyDescent="0.25">
      <c r="A48" s="38"/>
      <c r="B48" s="39"/>
      <c r="C48" s="113" t="s">
        <v>99</v>
      </c>
      <c r="D48" s="114"/>
      <c r="E48" s="115"/>
      <c r="F48" s="56">
        <v>0</v>
      </c>
      <c r="G48" s="52"/>
      <c r="H48" s="63">
        <v>0</v>
      </c>
      <c r="I48" s="39"/>
      <c r="J48" s="37"/>
      <c r="K48" s="37"/>
    </row>
    <row r="49" spans="1:11" ht="19.5" customHeight="1" x14ac:dyDescent="0.25">
      <c r="A49" s="38"/>
      <c r="B49" s="39"/>
      <c r="C49" s="113" t="s">
        <v>100</v>
      </c>
      <c r="D49" s="114"/>
      <c r="E49" s="115"/>
      <c r="F49" s="56">
        <v>0</v>
      </c>
      <c r="G49" s="52"/>
      <c r="H49" s="63">
        <v>0</v>
      </c>
      <c r="I49" s="39"/>
      <c r="J49" s="37"/>
      <c r="K49" s="37"/>
    </row>
    <row r="50" spans="1:11" ht="19.5" customHeight="1" x14ac:dyDescent="0.25">
      <c r="A50" s="38"/>
      <c r="B50" s="39"/>
      <c r="C50" s="113" t="s">
        <v>101</v>
      </c>
      <c r="D50" s="114"/>
      <c r="E50" s="115"/>
      <c r="F50" s="56">
        <v>0</v>
      </c>
      <c r="G50" s="52"/>
      <c r="H50" s="63">
        <v>0</v>
      </c>
      <c r="I50" s="39"/>
      <c r="J50" s="37"/>
      <c r="K50" s="37"/>
    </row>
    <row r="51" spans="1:11" ht="19.5" customHeight="1" x14ac:dyDescent="0.25">
      <c r="A51" s="38"/>
      <c r="B51" s="39"/>
      <c r="C51" s="113" t="s">
        <v>102</v>
      </c>
      <c r="D51" s="114"/>
      <c r="E51" s="115"/>
      <c r="F51" s="56">
        <v>0</v>
      </c>
      <c r="G51" s="52"/>
      <c r="H51" s="63">
        <v>0</v>
      </c>
      <c r="I51" s="39"/>
      <c r="J51" s="37"/>
      <c r="K51" s="37"/>
    </row>
    <row r="52" spans="1:11" ht="19.5" customHeight="1" x14ac:dyDescent="0.25">
      <c r="A52" s="38"/>
      <c r="B52" s="39"/>
      <c r="C52" s="118" t="s">
        <v>91</v>
      </c>
      <c r="D52" s="119"/>
      <c r="E52" s="120"/>
      <c r="F52" s="64">
        <f>F40+SUM(MIN(F41,75000),MIN(F42,50000),F43,MIN(F44,125000),MIN(F45,125000),F46,MIN(F47,50000),MIN(F48,150000),F49,MIN(F50,10000),MIN(F51,125000))</f>
        <v>0</v>
      </c>
      <c r="G52" s="65"/>
      <c r="H52" s="42">
        <f>SUM(H41:H51)</f>
        <v>0</v>
      </c>
      <c r="I52" s="39"/>
      <c r="J52" s="37"/>
      <c r="K52" s="37"/>
    </row>
    <row r="53" spans="1:11" ht="19.5" customHeight="1" x14ac:dyDescent="0.25">
      <c r="A53" s="38"/>
      <c r="B53" s="39"/>
      <c r="C53" s="121"/>
      <c r="D53" s="122"/>
      <c r="E53" s="122"/>
      <c r="F53" s="56"/>
      <c r="G53" s="72"/>
      <c r="H53" s="62"/>
      <c r="I53" s="39"/>
      <c r="J53" s="37"/>
      <c r="K53" s="37"/>
    </row>
    <row r="54" spans="1:11" ht="19.5" customHeight="1" x14ac:dyDescent="0.25">
      <c r="A54" s="38"/>
      <c r="B54" s="39"/>
      <c r="C54" s="66"/>
      <c r="D54" s="67"/>
      <c r="E54" s="68" t="s">
        <v>0</v>
      </c>
      <c r="F54" s="60">
        <f>MAX((F24-F52),0)</f>
        <v>0</v>
      </c>
      <c r="G54" s="61"/>
      <c r="H54" s="79">
        <f>MAX((H24-H52),0)</f>
        <v>0</v>
      </c>
      <c r="I54" s="39"/>
      <c r="J54" s="37"/>
      <c r="K54" s="37"/>
    </row>
    <row r="55" spans="1:11" ht="19.5" customHeight="1" x14ac:dyDescent="0.25">
      <c r="A55" s="38"/>
      <c r="B55" s="39"/>
      <c r="C55" s="53"/>
      <c r="D55" s="39"/>
      <c r="E55" s="69" t="s">
        <v>3</v>
      </c>
      <c r="F55" s="71">
        <f>ROUND(IF(C1="General",IF(F54&lt;=250000,0,IF(F54&lt;=500000,(F54-250000)*5%,IF(F54&lt;=1000000,(F54-500000)*20%+12500,(F54-1000000)*30%+112500))),IF(F54&lt;=300000,0,IF(F54&lt;=500000,(F54-300000)*5%,IF(F54&lt;=1000000,(F54-500000)*20%+10000,(F54-1000000)*30%+110000)))),0)</f>
        <v>0</v>
      </c>
      <c r="G55" s="77"/>
      <c r="H55" s="78">
        <f>ROUND(IF(H54&lt;=400000,0,IF(H54&lt;=800000,(H54-400000)*5%,IF(H54&lt;=1200000,(H54-800000)*10%+20000,IF(H54&lt;=1600000,(H54-1200000)*15%+20000+40000,IF(H54&lt;=2000000,(H54-1600000)*20%+20000+40000+60000,IF(H54&lt;=2400000,(H54-2000000)*25%+20000+40000+60000+80000,(H54-2400000)*30%+20000+40000+60000+80000+100000)))))),0)</f>
        <v>0</v>
      </c>
      <c r="I55" s="39"/>
      <c r="J55" s="37"/>
      <c r="K55" s="37"/>
    </row>
    <row r="56" spans="1:11" ht="19.5" customHeight="1" x14ac:dyDescent="0.25">
      <c r="A56" s="38"/>
      <c r="B56" s="39"/>
      <c r="C56" s="53"/>
      <c r="D56" s="39"/>
      <c r="E56" s="69" t="s">
        <v>104</v>
      </c>
      <c r="F56" s="71">
        <f>IF(F54&gt;500000,0,MIN(F55,12500))</f>
        <v>0</v>
      </c>
      <c r="G56" s="77"/>
      <c r="H56" s="78">
        <f>IF(AND(H54&gt;1200000,H54&lt;=1270588),H55-(H54-1200000),IF(H54&gt;1200000,0,MIN(H55,60000)))</f>
        <v>0</v>
      </c>
      <c r="I56" s="39"/>
      <c r="J56" s="37"/>
      <c r="K56" s="37"/>
    </row>
    <row r="57" spans="1:11" ht="19.5" customHeight="1" x14ac:dyDescent="0.25">
      <c r="A57" s="38"/>
      <c r="B57" s="39"/>
      <c r="C57" s="53"/>
      <c r="D57" s="39"/>
      <c r="E57" s="69" t="s">
        <v>105</v>
      </c>
      <c r="F57" s="71">
        <f>F55-F56</f>
        <v>0</v>
      </c>
      <c r="G57" s="77"/>
      <c r="H57" s="78">
        <f>H55-H56</f>
        <v>0</v>
      </c>
      <c r="I57" s="39"/>
      <c r="J57" s="37"/>
      <c r="K57" s="37"/>
    </row>
    <row r="58" spans="1:11" ht="19.5" customHeight="1" x14ac:dyDescent="0.25">
      <c r="A58" s="38"/>
      <c r="B58" s="39"/>
      <c r="C58" s="53"/>
      <c r="D58" s="39"/>
      <c r="E58" s="69" t="s">
        <v>12</v>
      </c>
      <c r="F58" s="71">
        <f>ROUND(IF(C1="General",IF(F54&lt;=5000000,0,IF(F54&lt;=5195890,(F54-5000000)*70%,IF(F54&lt;=10000000,F57*10%,IF(F54&lt;=10214700,(F54-10000000)*70%+281250,IF(F54&lt;=20000000,F57*15%,IF(F54&lt;=20930000,(F54-20000000)*70%+871875,IF(F54&lt;=50000000,F57*25%,IF(F54&lt;=53017830,(F54-50000000)*70%+3703125,F57*37%)))))))),IF(F54&lt;=5000000,0,IF(F54&lt;=5195530,(F54-5000000)*70%,IF(F54&lt;=10000000,F57*10%,IF(F54&lt;=10214510,(F54-10000000)*70%+281000,IF(F54&lt;=20000000,F57*15%,IF(F54&lt;=20929600,(F54-20000000)*70%+871500,IF(F54&lt;=50000000,F57*25%,IF(F54&lt;=53017320,(F54-50000000)*70%+3702500,F57*37%))))))))),0)</f>
        <v>0</v>
      </c>
      <c r="G58" s="77"/>
      <c r="H58" s="78">
        <f>ROUND(IF(H54&lt;=5000000,0,IF(H54&lt;=5161194,(H54-5000000)*70%,IF(H54&lt;=10000000,H57*10%,IF(H54&lt;=10196947,(H54-10000000)*70%+258000,IF(H54&lt;=20000000,H57*15%,IF(H54&lt;=20892800,(H54-20000000)*70%+837000,H57*25%)))))),0)</f>
        <v>0</v>
      </c>
      <c r="I58" s="39"/>
      <c r="J58" s="37"/>
      <c r="K58" s="37"/>
    </row>
    <row r="59" spans="1:11" ht="19.5" customHeight="1" x14ac:dyDescent="0.25">
      <c r="A59" s="38"/>
      <c r="B59" s="39"/>
      <c r="C59" s="53"/>
      <c r="D59" s="39"/>
      <c r="E59" s="69" t="s">
        <v>13</v>
      </c>
      <c r="F59" s="71">
        <f>F58+F57</f>
        <v>0</v>
      </c>
      <c r="G59" s="77"/>
      <c r="H59" s="78">
        <f>H58+H57</f>
        <v>0</v>
      </c>
      <c r="I59" s="39"/>
      <c r="J59" s="37"/>
      <c r="K59" s="37"/>
    </row>
    <row r="60" spans="1:11" ht="19.5" customHeight="1" x14ac:dyDescent="0.25">
      <c r="A60" s="38"/>
      <c r="B60" s="39"/>
      <c r="C60" s="53"/>
      <c r="D60" s="39"/>
      <c r="E60" s="70" t="s">
        <v>27</v>
      </c>
      <c r="F60" s="71">
        <f>ROUND(F59*4%,0)</f>
        <v>0</v>
      </c>
      <c r="G60" s="77"/>
      <c r="H60" s="78">
        <f>ROUND(H59*4%,0)</f>
        <v>0</v>
      </c>
      <c r="I60" s="39"/>
      <c r="J60" s="37"/>
      <c r="K60" s="37"/>
    </row>
    <row r="61" spans="1:11" ht="20.25" customHeight="1" x14ac:dyDescent="0.25">
      <c r="A61" s="38"/>
      <c r="B61" s="39"/>
      <c r="C61" s="105"/>
      <c r="D61" s="106"/>
      <c r="E61" s="107" t="s">
        <v>14</v>
      </c>
      <c r="F61" s="108">
        <f>F60+F59</f>
        <v>0</v>
      </c>
      <c r="G61" s="109"/>
      <c r="H61" s="110">
        <f>H60+H59</f>
        <v>0</v>
      </c>
      <c r="I61" s="39"/>
      <c r="J61" s="37"/>
      <c r="K61" s="37"/>
    </row>
    <row r="62" spans="1:11" x14ac:dyDescent="0.25">
      <c r="A62" s="38"/>
      <c r="B62" s="39"/>
      <c r="C62" s="39"/>
      <c r="D62" s="39"/>
      <c r="E62" s="39"/>
      <c r="F62" s="39" t="s">
        <v>106</v>
      </c>
      <c r="G62" s="39"/>
      <c r="H62" s="39">
        <f>MAX((F61-H61),0)</f>
        <v>0</v>
      </c>
      <c r="I62" s="39"/>
      <c r="J62" s="37"/>
      <c r="K62" s="37"/>
    </row>
    <row r="63" spans="1:11" x14ac:dyDescent="0.25">
      <c r="A63" s="38"/>
      <c r="B63" s="39"/>
      <c r="C63" s="117"/>
      <c r="D63" s="117"/>
      <c r="E63" s="117"/>
      <c r="F63" s="117"/>
      <c r="G63" s="117"/>
      <c r="H63" s="117"/>
      <c r="I63" s="39"/>
      <c r="J63" s="37"/>
      <c r="K63" s="37"/>
    </row>
    <row r="64" spans="1:11" x14ac:dyDescent="0.25">
      <c r="A64" s="38"/>
      <c r="B64" s="39"/>
      <c r="C64" s="116" t="s">
        <v>142</v>
      </c>
      <c r="D64" s="116"/>
      <c r="E64" s="116"/>
      <c r="F64" s="116"/>
      <c r="G64" s="116"/>
      <c r="H64" s="116"/>
      <c r="I64" s="39"/>
      <c r="J64" s="37"/>
      <c r="K64" s="37"/>
    </row>
    <row r="65" spans="3:11" hidden="1" x14ac:dyDescent="0.25">
      <c r="I65" s="39"/>
      <c r="J65" s="75"/>
      <c r="K65" s="75"/>
    </row>
    <row r="66" spans="3:11" hidden="1" x14ac:dyDescent="0.25">
      <c r="I66" s="39"/>
      <c r="J66" s="75"/>
      <c r="K66" s="75"/>
    </row>
    <row r="67" spans="3:11" hidden="1" x14ac:dyDescent="0.25">
      <c r="I67" s="39"/>
      <c r="J67" s="75"/>
      <c r="K67" s="75"/>
    </row>
    <row r="68" spans="3:11" hidden="1" x14ac:dyDescent="0.25">
      <c r="I68" s="39"/>
      <c r="J68" s="75"/>
      <c r="K68" s="75"/>
    </row>
    <row r="69" spans="3:11" hidden="1" x14ac:dyDescent="0.25">
      <c r="I69" s="39"/>
      <c r="J69" s="75"/>
      <c r="K69" s="75"/>
    </row>
    <row r="70" spans="3:11" hidden="1" x14ac:dyDescent="0.25">
      <c r="I70" s="39"/>
      <c r="J70" s="75"/>
      <c r="K70" s="75"/>
    </row>
    <row r="71" spans="3:11" hidden="1" x14ac:dyDescent="0.25">
      <c r="I71" s="39"/>
      <c r="J71" s="75"/>
      <c r="K71" s="75"/>
    </row>
    <row r="72" spans="3:11" hidden="1" x14ac:dyDescent="0.25">
      <c r="I72" s="39"/>
      <c r="J72" s="75"/>
      <c r="K72" s="75"/>
    </row>
    <row r="73" spans="3:11" hidden="1" x14ac:dyDescent="0.25">
      <c r="I73" s="39"/>
      <c r="J73" s="75"/>
      <c r="K73" s="75"/>
    </row>
    <row r="74" spans="3:11" hidden="1" x14ac:dyDescent="0.25">
      <c r="I74" s="39"/>
      <c r="J74" s="75"/>
      <c r="K74" s="75"/>
    </row>
    <row r="75" spans="3:11" hidden="1" x14ac:dyDescent="0.25">
      <c r="I75" s="39"/>
      <c r="J75" s="75"/>
      <c r="K75" s="75"/>
    </row>
    <row r="76" spans="3:11" hidden="1" x14ac:dyDescent="0.25">
      <c r="I76" s="39"/>
      <c r="J76" s="75"/>
      <c r="K76" s="75"/>
    </row>
    <row r="77" spans="3:11" hidden="1" x14ac:dyDescent="0.25">
      <c r="I77" s="39"/>
      <c r="J77" s="75"/>
      <c r="K77" s="75"/>
    </row>
    <row r="78" spans="3:11" hidden="1" x14ac:dyDescent="0.25">
      <c r="C78" s="48" t="s">
        <v>39</v>
      </c>
      <c r="D78" s="48"/>
      <c r="E78" s="48" t="s">
        <v>76</v>
      </c>
      <c r="H78" s="48" t="s">
        <v>39</v>
      </c>
      <c r="I78" s="39"/>
      <c r="J78" s="75"/>
      <c r="K78" s="75"/>
    </row>
    <row r="79" spans="3:11" hidden="1" x14ac:dyDescent="0.25">
      <c r="C79" s="49" t="s">
        <v>40</v>
      </c>
      <c r="D79" s="49"/>
      <c r="E79" s="49">
        <v>2400</v>
      </c>
      <c r="H79" s="49" t="s">
        <v>40</v>
      </c>
      <c r="I79" s="39"/>
      <c r="J79" s="75"/>
      <c r="K79" s="75"/>
    </row>
    <row r="80" spans="3:11" hidden="1" x14ac:dyDescent="0.25">
      <c r="C80" s="49" t="s">
        <v>41</v>
      </c>
      <c r="D80" s="49"/>
      <c r="E80" s="49">
        <v>2500</v>
      </c>
      <c r="H80" s="49" t="s">
        <v>41</v>
      </c>
      <c r="I80" s="39"/>
      <c r="J80" s="75"/>
      <c r="K80" s="75"/>
    </row>
    <row r="81" spans="3:11" hidden="1" x14ac:dyDescent="0.25">
      <c r="C81" s="49" t="s">
        <v>42</v>
      </c>
      <c r="D81" s="49"/>
      <c r="E81" s="49">
        <v>2400</v>
      </c>
      <c r="H81" s="49" t="s">
        <v>42</v>
      </c>
      <c r="I81" s="39"/>
      <c r="J81" s="75"/>
      <c r="K81" s="75"/>
    </row>
    <row r="82" spans="3:11" hidden="1" x14ac:dyDescent="0.25">
      <c r="C82" s="49" t="s">
        <v>43</v>
      </c>
      <c r="D82" s="49"/>
      <c r="E82" s="49">
        <v>2400</v>
      </c>
      <c r="H82" s="49" t="s">
        <v>43</v>
      </c>
      <c r="I82" s="39"/>
      <c r="J82" s="75"/>
      <c r="K82" s="75"/>
    </row>
    <row r="83" spans="3:11" hidden="1" x14ac:dyDescent="0.25">
      <c r="C83" s="49" t="s">
        <v>44</v>
      </c>
      <c r="D83" s="49"/>
      <c r="E83" s="49">
        <v>2500</v>
      </c>
      <c r="H83" s="49" t="s">
        <v>44</v>
      </c>
      <c r="I83" s="39"/>
      <c r="J83" s="75"/>
      <c r="K83" s="75"/>
    </row>
    <row r="84" spans="3:11" hidden="1" x14ac:dyDescent="0.25">
      <c r="C84" s="49" t="s">
        <v>45</v>
      </c>
      <c r="D84" s="49"/>
      <c r="E84" s="49">
        <v>0</v>
      </c>
      <c r="H84" s="49" t="s">
        <v>45</v>
      </c>
      <c r="I84" s="39"/>
      <c r="J84" s="75"/>
      <c r="K84" s="75"/>
    </row>
    <row r="85" spans="3:11" hidden="1" x14ac:dyDescent="0.25">
      <c r="C85" s="49" t="s">
        <v>46</v>
      </c>
      <c r="D85" s="49"/>
      <c r="E85" s="49">
        <v>0</v>
      </c>
      <c r="H85" s="49" t="s">
        <v>46</v>
      </c>
      <c r="I85" s="39"/>
      <c r="J85" s="75"/>
      <c r="K85" s="75"/>
    </row>
    <row r="86" spans="3:11" hidden="1" x14ac:dyDescent="0.25">
      <c r="C86" s="49" t="s">
        <v>47</v>
      </c>
      <c r="D86" s="49"/>
      <c r="E86" s="49">
        <v>2400</v>
      </c>
      <c r="H86" s="49" t="s">
        <v>47</v>
      </c>
      <c r="I86" s="39"/>
      <c r="J86" s="75"/>
      <c r="K86" s="75"/>
    </row>
    <row r="87" spans="3:11" hidden="1" x14ac:dyDescent="0.25">
      <c r="C87" s="49" t="s">
        <v>48</v>
      </c>
      <c r="D87" s="49"/>
      <c r="E87" s="49">
        <v>0</v>
      </c>
      <c r="H87" s="49" t="s">
        <v>48</v>
      </c>
      <c r="I87" s="39"/>
      <c r="J87" s="75"/>
      <c r="K87" s="75"/>
    </row>
    <row r="88" spans="3:11" hidden="1" x14ac:dyDescent="0.25">
      <c r="C88" s="49" t="s">
        <v>49</v>
      </c>
      <c r="D88" s="49"/>
      <c r="E88" s="49">
        <v>0</v>
      </c>
      <c r="H88" s="49" t="s">
        <v>49</v>
      </c>
      <c r="I88" s="39"/>
      <c r="J88" s="75"/>
      <c r="K88" s="75"/>
    </row>
    <row r="89" spans="3:11" hidden="1" x14ac:dyDescent="0.25">
      <c r="C89" s="49" t="s">
        <v>50</v>
      </c>
      <c r="D89" s="49"/>
      <c r="E89" s="49">
        <v>2500</v>
      </c>
      <c r="H89" s="49" t="s">
        <v>50</v>
      </c>
      <c r="I89" s="39"/>
      <c r="J89" s="75"/>
      <c r="K89" s="75"/>
    </row>
    <row r="90" spans="3:11" hidden="1" x14ac:dyDescent="0.25">
      <c r="C90" s="49" t="s">
        <v>51</v>
      </c>
      <c r="D90" s="49"/>
      <c r="E90" s="49">
        <v>0</v>
      </c>
      <c r="H90" s="49" t="s">
        <v>51</v>
      </c>
      <c r="I90" s="39"/>
      <c r="J90" s="75"/>
      <c r="K90" s="75"/>
    </row>
    <row r="91" spans="3:11" hidden="1" x14ac:dyDescent="0.25">
      <c r="C91" s="49" t="s">
        <v>52</v>
      </c>
      <c r="D91" s="49"/>
      <c r="E91" s="49">
        <v>0</v>
      </c>
      <c r="H91" s="49" t="s">
        <v>52</v>
      </c>
      <c r="I91" s="39"/>
      <c r="J91" s="75"/>
      <c r="K91" s="75"/>
    </row>
    <row r="92" spans="3:11" hidden="1" x14ac:dyDescent="0.25">
      <c r="C92" s="49" t="s">
        <v>53</v>
      </c>
      <c r="D92" s="49"/>
      <c r="E92" s="49">
        <v>0</v>
      </c>
      <c r="H92" s="49" t="s">
        <v>53</v>
      </c>
      <c r="I92" s="39"/>
      <c r="J92" s="75"/>
      <c r="K92" s="75"/>
    </row>
    <row r="93" spans="3:11" hidden="1" x14ac:dyDescent="0.25">
      <c r="C93" s="49" t="s">
        <v>54</v>
      </c>
      <c r="D93" s="49"/>
      <c r="E93" s="49">
        <v>0</v>
      </c>
      <c r="H93" s="49" t="s">
        <v>54</v>
      </c>
      <c r="I93" s="39"/>
      <c r="J93" s="75"/>
      <c r="K93" s="75"/>
    </row>
    <row r="94" spans="3:11" hidden="1" x14ac:dyDescent="0.25">
      <c r="C94" s="49" t="s">
        <v>55</v>
      </c>
      <c r="D94" s="49"/>
      <c r="E94" s="49">
        <v>0</v>
      </c>
      <c r="H94" s="49" t="s">
        <v>55</v>
      </c>
      <c r="I94" s="39"/>
      <c r="J94" s="75"/>
      <c r="K94" s="75"/>
    </row>
    <row r="95" spans="3:11" hidden="1" x14ac:dyDescent="0.25">
      <c r="C95" s="49" t="s">
        <v>56</v>
      </c>
      <c r="D95" s="49"/>
      <c r="E95" s="49">
        <v>0</v>
      </c>
      <c r="H95" s="49" t="s">
        <v>56</v>
      </c>
      <c r="I95" s="39"/>
      <c r="J95" s="75"/>
      <c r="K95" s="75"/>
    </row>
    <row r="96" spans="3:11" hidden="1" x14ac:dyDescent="0.25">
      <c r="C96" s="49" t="s">
        <v>57</v>
      </c>
      <c r="D96" s="49"/>
      <c r="E96" s="49">
        <v>2500</v>
      </c>
      <c r="H96" s="49" t="s">
        <v>57</v>
      </c>
      <c r="I96" s="39"/>
      <c r="J96" s="75"/>
      <c r="K96" s="75"/>
    </row>
    <row r="97" spans="3:11" hidden="1" x14ac:dyDescent="0.25">
      <c r="C97" s="49" t="s">
        <v>58</v>
      </c>
      <c r="D97" s="49"/>
      <c r="E97" s="49">
        <v>2400</v>
      </c>
      <c r="H97" s="49" t="s">
        <v>58</v>
      </c>
      <c r="I97" s="39"/>
      <c r="J97" s="75"/>
      <c r="K97" s="75"/>
    </row>
    <row r="98" spans="3:11" hidden="1" x14ac:dyDescent="0.25">
      <c r="C98" s="49" t="s">
        <v>59</v>
      </c>
      <c r="D98" s="49"/>
      <c r="E98" s="49">
        <v>2500</v>
      </c>
      <c r="H98" s="49" t="s">
        <v>59</v>
      </c>
      <c r="I98" s="39"/>
      <c r="J98" s="75"/>
      <c r="K98" s="75"/>
    </row>
    <row r="99" spans="3:11" hidden="1" x14ac:dyDescent="0.25">
      <c r="C99" s="49" t="s">
        <v>60</v>
      </c>
      <c r="D99" s="49"/>
      <c r="E99" s="49">
        <v>2500</v>
      </c>
      <c r="H99" s="49" t="s">
        <v>60</v>
      </c>
      <c r="I99" s="39"/>
      <c r="J99" s="75"/>
      <c r="K99" s="75"/>
    </row>
    <row r="100" spans="3:11" hidden="1" x14ac:dyDescent="0.25">
      <c r="C100" s="49" t="s">
        <v>61</v>
      </c>
      <c r="D100" s="49"/>
      <c r="E100" s="49">
        <v>2500</v>
      </c>
      <c r="H100" s="49" t="s">
        <v>61</v>
      </c>
      <c r="I100" s="39"/>
      <c r="J100" s="75"/>
      <c r="K100" s="75"/>
    </row>
    <row r="101" spans="3:11" hidden="1" x14ac:dyDescent="0.25">
      <c r="C101" s="49" t="s">
        <v>62</v>
      </c>
      <c r="D101" s="49"/>
      <c r="E101" s="49">
        <v>2400</v>
      </c>
      <c r="H101" s="49" t="s">
        <v>62</v>
      </c>
      <c r="I101" s="39"/>
      <c r="J101" s="75"/>
      <c r="K101" s="75"/>
    </row>
    <row r="102" spans="3:11" hidden="1" x14ac:dyDescent="0.25">
      <c r="C102" s="49" t="s">
        <v>63</v>
      </c>
      <c r="D102" s="49"/>
      <c r="E102" s="49">
        <v>2400</v>
      </c>
      <c r="H102" s="49" t="s">
        <v>63</v>
      </c>
      <c r="I102" s="39"/>
      <c r="J102" s="75"/>
      <c r="K102" s="75"/>
    </row>
    <row r="103" spans="3:11" hidden="1" x14ac:dyDescent="0.25">
      <c r="C103" s="49" t="s">
        <v>64</v>
      </c>
      <c r="D103" s="49"/>
      <c r="E103" s="49">
        <v>2500</v>
      </c>
      <c r="H103" s="49" t="s">
        <v>64</v>
      </c>
      <c r="I103" s="39"/>
      <c r="J103" s="75"/>
      <c r="K103" s="75"/>
    </row>
    <row r="104" spans="3:11" hidden="1" x14ac:dyDescent="0.25">
      <c r="C104" s="49" t="s">
        <v>65</v>
      </c>
      <c r="D104" s="49"/>
      <c r="E104" s="49">
        <v>0</v>
      </c>
      <c r="H104" s="49" t="s">
        <v>65</v>
      </c>
      <c r="I104" s="39"/>
      <c r="J104" s="75"/>
      <c r="K104" s="75"/>
    </row>
    <row r="105" spans="3:11" hidden="1" x14ac:dyDescent="0.25">
      <c r="C105" s="49" t="s">
        <v>66</v>
      </c>
      <c r="D105" s="49"/>
      <c r="E105" s="49">
        <v>2400</v>
      </c>
      <c r="H105" s="49" t="s">
        <v>66</v>
      </c>
      <c r="I105" s="39"/>
      <c r="J105" s="75"/>
      <c r="K105" s="75"/>
    </row>
    <row r="106" spans="3:11" hidden="1" x14ac:dyDescent="0.25">
      <c r="C106" s="49" t="s">
        <v>67</v>
      </c>
      <c r="D106" s="49"/>
      <c r="E106" s="49">
        <v>0</v>
      </c>
      <c r="H106" s="49" t="s">
        <v>67</v>
      </c>
      <c r="I106" s="39"/>
      <c r="J106" s="75"/>
      <c r="K106" s="75"/>
    </row>
    <row r="107" spans="3:11" hidden="1" x14ac:dyDescent="0.25">
      <c r="C107" s="49" t="s">
        <v>68</v>
      </c>
      <c r="D107" s="49"/>
      <c r="E107" s="49">
        <v>0</v>
      </c>
      <c r="H107" s="49" t="s">
        <v>68</v>
      </c>
      <c r="I107" s="39"/>
      <c r="J107" s="75"/>
      <c r="K107" s="75"/>
    </row>
    <row r="108" spans="3:11" hidden="1" x14ac:dyDescent="0.25">
      <c r="C108" s="49" t="s">
        <v>69</v>
      </c>
      <c r="D108" s="49"/>
      <c r="E108" s="49">
        <v>2400</v>
      </c>
      <c r="H108" s="49" t="s">
        <v>69</v>
      </c>
      <c r="I108" s="39"/>
      <c r="J108" s="75"/>
      <c r="K108" s="75"/>
    </row>
    <row r="109" spans="3:11" hidden="1" x14ac:dyDescent="0.25">
      <c r="C109" s="49" t="s">
        <v>70</v>
      </c>
      <c r="D109" s="49"/>
      <c r="E109" s="49">
        <v>2500</v>
      </c>
      <c r="H109" s="49" t="s">
        <v>70</v>
      </c>
      <c r="I109" s="39"/>
      <c r="J109" s="75"/>
      <c r="K109" s="75"/>
    </row>
    <row r="110" spans="3:11" hidden="1" x14ac:dyDescent="0.25">
      <c r="C110" s="49" t="s">
        <v>71</v>
      </c>
      <c r="D110" s="49"/>
      <c r="E110" s="49">
        <v>2500</v>
      </c>
      <c r="H110" s="49" t="s">
        <v>71</v>
      </c>
      <c r="I110" s="39"/>
      <c r="J110" s="75"/>
      <c r="K110" s="75"/>
    </row>
    <row r="111" spans="3:11" hidden="1" x14ac:dyDescent="0.25">
      <c r="C111" s="49" t="s">
        <v>72</v>
      </c>
      <c r="D111" s="49"/>
      <c r="E111" s="49">
        <v>0</v>
      </c>
      <c r="H111" s="49" t="s">
        <v>72</v>
      </c>
      <c r="I111" s="39"/>
      <c r="J111" s="75"/>
      <c r="K111" s="75"/>
    </row>
    <row r="112" spans="3:11" hidden="1" x14ac:dyDescent="0.25">
      <c r="C112" s="49" t="s">
        <v>73</v>
      </c>
      <c r="D112" s="49"/>
      <c r="E112" s="49">
        <v>0</v>
      </c>
      <c r="H112" s="49" t="s">
        <v>73</v>
      </c>
      <c r="I112" s="39"/>
      <c r="J112" s="75"/>
      <c r="K112" s="75"/>
    </row>
    <row r="113" spans="1:11" hidden="1" x14ac:dyDescent="0.25">
      <c r="C113" s="49" t="s">
        <v>74</v>
      </c>
      <c r="D113" s="49"/>
      <c r="E113" s="49">
        <v>0</v>
      </c>
      <c r="H113" s="49" t="s">
        <v>74</v>
      </c>
      <c r="I113" s="39"/>
      <c r="J113" s="75"/>
      <c r="K113" s="75"/>
    </row>
    <row r="114" spans="1:11" hidden="1" x14ac:dyDescent="0.25">
      <c r="C114" s="49" t="s">
        <v>75</v>
      </c>
      <c r="D114" s="49"/>
      <c r="E114" s="49">
        <v>0</v>
      </c>
      <c r="H114" s="49" t="s">
        <v>75</v>
      </c>
      <c r="I114" s="39"/>
      <c r="J114" s="75"/>
      <c r="K114" s="75"/>
    </row>
    <row r="115" spans="1:11" hidden="1" x14ac:dyDescent="0.25">
      <c r="I115" s="39"/>
      <c r="J115" s="75"/>
      <c r="K115" s="75"/>
    </row>
    <row r="116" spans="1:11" hidden="1" x14ac:dyDescent="0.25">
      <c r="I116" s="39"/>
      <c r="J116" s="75"/>
      <c r="K116" s="75"/>
    </row>
    <row r="117" spans="1:11" hidden="1" x14ac:dyDescent="0.25">
      <c r="C117" s="47" t="s">
        <v>82</v>
      </c>
      <c r="I117" s="39"/>
      <c r="J117" s="75"/>
      <c r="K117" s="75"/>
    </row>
    <row r="118" spans="1:11" hidden="1" x14ac:dyDescent="0.25">
      <c r="C118" s="57" t="s">
        <v>83</v>
      </c>
      <c r="E118" s="47">
        <f>E3</f>
        <v>0</v>
      </c>
      <c r="I118" s="39"/>
      <c r="J118" s="75"/>
      <c r="K118" s="75"/>
    </row>
    <row r="119" spans="1:11" hidden="1" x14ac:dyDescent="0.25">
      <c r="C119" s="57" t="s">
        <v>85</v>
      </c>
      <c r="E119" s="47">
        <f>H9-(E2*10%)</f>
        <v>0</v>
      </c>
      <c r="I119" s="39"/>
      <c r="J119" s="75"/>
      <c r="K119" s="75"/>
    </row>
    <row r="120" spans="1:11" hidden="1" x14ac:dyDescent="0.25">
      <c r="C120" s="57" t="s">
        <v>86</v>
      </c>
      <c r="E120" s="47">
        <f>IF(H10="Metro City",E2*50%,E2*40%)</f>
        <v>0</v>
      </c>
      <c r="I120" s="39"/>
      <c r="J120" s="75"/>
      <c r="K120" s="75"/>
    </row>
    <row r="121" spans="1:11" hidden="1" x14ac:dyDescent="0.25">
      <c r="C121" s="57" t="s">
        <v>87</v>
      </c>
      <c r="E121" s="47">
        <f>MAX(MIN(E118:E120),0)</f>
        <v>0</v>
      </c>
      <c r="I121" s="39"/>
      <c r="J121" s="75"/>
      <c r="K121" s="75"/>
    </row>
    <row r="122" spans="1:11" hidden="1" x14ac:dyDescent="0.25">
      <c r="C122" s="58" t="s">
        <v>88</v>
      </c>
      <c r="D122" s="59"/>
      <c r="E122" s="59">
        <f>ROUND(E121*12,0)</f>
        <v>0</v>
      </c>
      <c r="I122" s="39"/>
      <c r="J122" s="75"/>
      <c r="K122" s="75"/>
    </row>
    <row r="123" spans="1:11" hidden="1" x14ac:dyDescent="0.25">
      <c r="I123" s="39"/>
      <c r="J123" s="75"/>
      <c r="K123" s="75"/>
    </row>
    <row r="124" spans="1:11" hidden="1" x14ac:dyDescent="0.25">
      <c r="I124" s="39"/>
      <c r="J124" s="75"/>
      <c r="K124" s="75"/>
    </row>
    <row r="125" spans="1:11" hidden="1" x14ac:dyDescent="0.25">
      <c r="I125" s="39"/>
      <c r="J125" s="75"/>
      <c r="K125" s="75"/>
    </row>
    <row r="126" spans="1:11" x14ac:dyDescent="0.25">
      <c r="A126" s="76"/>
      <c r="B126" s="37"/>
      <c r="C126" s="37"/>
      <c r="D126" s="37"/>
      <c r="E126" s="37"/>
      <c r="F126" s="37"/>
      <c r="G126" s="37"/>
      <c r="H126" s="37"/>
      <c r="I126" s="39"/>
      <c r="J126" s="75"/>
      <c r="K126" s="75"/>
    </row>
    <row r="127" spans="1:11" x14ac:dyDescent="0.25">
      <c r="A127" s="76"/>
      <c r="B127" s="37"/>
      <c r="C127" s="37"/>
      <c r="D127" s="37"/>
      <c r="E127" s="37"/>
      <c r="F127" s="37"/>
      <c r="G127" s="37"/>
      <c r="H127" s="37"/>
      <c r="I127" s="39"/>
      <c r="J127" s="75"/>
      <c r="K127" s="75"/>
    </row>
    <row r="128" spans="1:11" x14ac:dyDescent="0.25">
      <c r="A128" s="76"/>
      <c r="B128" s="37"/>
      <c r="C128" s="111"/>
      <c r="D128" s="46"/>
      <c r="E128" s="112"/>
      <c r="F128" s="112"/>
      <c r="G128" s="46"/>
      <c r="H128" s="112"/>
      <c r="I128" s="46"/>
      <c r="J128" s="75"/>
      <c r="K128" s="75"/>
    </row>
    <row r="129" spans="1:11" hidden="1" x14ac:dyDescent="0.25">
      <c r="A129" s="76"/>
      <c r="B129" s="37"/>
      <c r="C129" s="37"/>
      <c r="D129" s="37"/>
      <c r="E129" s="37"/>
      <c r="F129" s="37"/>
      <c r="G129" s="37"/>
      <c r="H129" s="37"/>
      <c r="I129" s="39"/>
      <c r="J129" s="75"/>
      <c r="K129" s="75"/>
    </row>
    <row r="130" spans="1:11" hidden="1" x14ac:dyDescent="0.25">
      <c r="A130" s="76"/>
      <c r="B130" s="37"/>
      <c r="C130" s="37"/>
      <c r="D130" s="37"/>
      <c r="E130" s="37"/>
      <c r="F130" s="37"/>
      <c r="G130" s="37"/>
      <c r="H130" s="37"/>
      <c r="I130" s="39"/>
      <c r="J130" s="75"/>
      <c r="K130" s="75"/>
    </row>
  </sheetData>
  <sheetProtection algorithmName="SHA-512" hashValue="18BoLeRSiOrxG7e320wlYLDe3GxpOA3EtsTytdISRtOROIIEXeoQ/n2NEBcCMLEu7cL45ImkOe24HLCVporQUA==" saltValue="9OUV7zshH31iWI7pxegf/Q==" spinCount="100000" sheet="1" objects="1" scenarios="1"/>
  <mergeCells count="31">
    <mergeCell ref="J13:K13"/>
    <mergeCell ref="C17:E17"/>
    <mergeCell ref="E1:G1"/>
    <mergeCell ref="C16:E16"/>
    <mergeCell ref="C1:D1"/>
    <mergeCell ref="C11:E11"/>
    <mergeCell ref="F11:H11"/>
    <mergeCell ref="C13:E13"/>
    <mergeCell ref="C14:E14"/>
    <mergeCell ref="C15:E15"/>
    <mergeCell ref="C41:E41"/>
    <mergeCell ref="C25:E25"/>
    <mergeCell ref="C20:E20"/>
    <mergeCell ref="C21:E21"/>
    <mergeCell ref="C22:E22"/>
    <mergeCell ref="C23:E23"/>
    <mergeCell ref="C24:E24"/>
    <mergeCell ref="C48:E48"/>
    <mergeCell ref="C44:E44"/>
    <mergeCell ref="C49:E49"/>
    <mergeCell ref="C64:H64"/>
    <mergeCell ref="C63:H63"/>
    <mergeCell ref="C51:E51"/>
    <mergeCell ref="C52:E52"/>
    <mergeCell ref="C53:E53"/>
    <mergeCell ref="C50:E50"/>
    <mergeCell ref="C42:E42"/>
    <mergeCell ref="C43:E43"/>
    <mergeCell ref="C45:E45"/>
    <mergeCell ref="C46:E46"/>
    <mergeCell ref="C47:E47"/>
  </mergeCells>
  <dataValidations xWindow="1098" yWindow="501" count="26">
    <dataValidation allowBlank="1" showInputMessage="1" showErrorMessage="1" sqref="F12:H12 F20 H43:I43 F49 H54:H55 H52:I52 E78:E1048576 D62 H57:H62 E54:E62 F57:F62 E65:E76 I44:I51 D65:D1048576 B62:C1048576 K14:K24 F52:F55 F65:H1048576 F25:F39 G25:G62 H20 C13:C24 F16:F17 I53:I1048576 F24:G24 H24:H40 I25:I42 C53 B3:B61 G14:G23 H14 F14 I1:J24 L1:XFD24 K1:K12 J25:XFD1048576" xr:uid="{00000000-0002-0000-0000-000000000000}"/>
    <dataValidation type="list" allowBlank="1" showInputMessage="1" showErrorMessage="1" sqref="C1" xr:uid="{00000000-0002-0000-0000-000001000000}">
      <formula1>"General, Senior Citizen"</formula1>
    </dataValidation>
    <dataValidation type="list" allowBlank="1" showInputMessage="1" showErrorMessage="1" promptTitle="Select Rent City" sqref="H10" xr:uid="{00000000-0002-0000-0000-000002000000}">
      <formula1>"Metro City, Non Metro"</formula1>
    </dataValidation>
    <dataValidation type="list" allowBlank="1" showInputMessage="1" showErrorMessage="1" promptTitle="State Name (P.Tax Working City)" sqref="H1" xr:uid="{00000000-0002-0000-0000-000003000000}">
      <formula1>ST_NAME</formula1>
    </dataValidation>
    <dataValidation type="whole" operator="equal" allowBlank="1" showInputMessage="1" showErrorMessage="1" promptTitle="Not Applicable in new tax slabs" sqref="H41:H42 H44:H51 H53 H21 H18:H19" xr:uid="{00000000-0002-0000-0000-000004000000}">
      <formula1>0</formula1>
    </dataValidation>
    <dataValidation type="whole" operator="equal" showInputMessage="1" showErrorMessage="1" promptTitle="Not Applicable in new tax slabs" sqref="H16" xr:uid="{00000000-0002-0000-0000-000005000000}">
      <formula1>0</formula1>
    </dataValidation>
    <dataValidation type="whole" operator="greaterThanOrEqual" allowBlank="1" showInputMessage="1" showErrorMessage="1" sqref="H22:H23" xr:uid="{00000000-0002-0000-0000-000006000000}">
      <formula1>0</formula1>
    </dataValidation>
    <dataValidation type="whole" allowBlank="1" showInputMessage="1" showErrorMessage="1" sqref="F40" xr:uid="{00000000-0002-0000-0000-000007000000}">
      <formula1>0</formula1>
      <formula2>150000</formula2>
    </dataValidation>
    <dataValidation type="whole" allowBlank="1" showInputMessage="1" showErrorMessage="1" errorTitle="error" error="Type in Nigative up to -200000" promptTitle="Help" prompt="Type in Nigative up to -200000._x000a__x000a_Set off of losses under the head of income from house property against Salary income is restricted upto an amount of Rs. 2,00,000 from financial year 2017-18 onwards.._x000a_" sqref="F21" xr:uid="{00000000-0002-0000-0000-000008000000}">
      <formula1>-200000</formula1>
      <formula2>0</formula2>
    </dataValidation>
    <dataValidation type="whole" allowBlank="1" showInputMessage="1" showErrorMessage="1" sqref="F22" xr:uid="{00000000-0002-0000-0000-000009000000}">
      <formula1>0</formula1>
      <formula2>F20</formula2>
    </dataValidation>
    <dataValidation type="whole" allowBlank="1" showInputMessage="1" showErrorMessage="1" sqref="F23" xr:uid="{00000000-0002-0000-0000-00000A000000}">
      <formula1>0</formula1>
      <formula2>F20</formula2>
    </dataValidation>
    <dataValidation type="decimal" allowBlank="1" showInputMessage="1" showErrorMessage="1" prompt="if age&lt;60 up to 25000_x000a_Else up to 50000._x000a__x000a_" sqref="F41" xr:uid="{00000000-0002-0000-0000-00000B000000}">
      <formula1>0</formula1>
      <formula2>75000</formula2>
    </dataValidation>
    <dataValidation type="decimal" operator="greaterThanOrEqual" allowBlank="1" showInputMessage="1" showErrorMessage="1" promptTitle="Help" prompt="Payment of interest on loan taken for higher education [U/S 80 E]._x000a__x000a_from F.Y. 2005-06 only interest part will be eligible for deduction and no deduction is available for principal repayment." sqref="F46" xr:uid="{00000000-0002-0000-0000-00000C000000}">
      <formula1>0</formula1>
    </dataValidation>
    <dataValidation type="decimal" allowBlank="1" showInputMessage="1" showErrorMessage="1" prompt="In case of self, being totally blind or physically handicapped[U/S 80 U]_x000a_Disability is 40% or More but less then 80% then there is a fixed deduction of Rs 75000_x000a_Disability is 80% or More(Severe Disability)-Fixed deduction amount is Rs 125000" sqref="F51" xr:uid="{00000000-0002-0000-0000-00000D000000}">
      <formula1>0</formula1>
      <formula2>125000</formula2>
    </dataValidation>
    <dataValidation type="decimal" showInputMessage="1" showErrorMessage="1" prompt="Age Below 60 = a deduction up to Rs 10,000" sqref="F50" xr:uid="{00000000-0002-0000-0000-00000E000000}">
      <formula1>0</formula1>
      <formula2>10000</formula2>
    </dataValidation>
    <dataValidation type="decimal" operator="greaterThanOrEqual" allowBlank="1" showInputMessage="1" showErrorMessage="1" prompt="Up to 10% of basic if paid by Employer" sqref="F43" xr:uid="{00000000-0002-0000-0000-00000F000000}">
      <formula1>0</formula1>
    </dataValidation>
    <dataValidation type="decimal" allowBlank="1" showInputMessage="1" showErrorMessage="1" prompt="Lower of Rs.40000/- or actual expenditure_x000a_( Limit is Rs.100000/- for  Senior Citizens )" sqref="F45" xr:uid="{00000000-0002-0000-0000-000010000000}">
      <formula1>0</formula1>
      <formula2>100000</formula2>
    </dataValidation>
    <dataValidation type="decimal" showInputMessage="1" showErrorMessage="1" prompt="Medical treatment of handicapped dependent [U/S 80DD]_x000a_Disability is 40% or More but less then 80% then there is a fixed deduction of Rs 75000_x000a_Disability is 80% or More(Severe Disability)-Fixed deduction amount is Rs 125000_x000a__x000a_" sqref="F44" xr:uid="{00000000-0002-0000-0000-000011000000}">
      <formula1>0</formula1>
      <formula2>125000</formula2>
    </dataValidation>
    <dataValidation type="decimal" allowBlank="1" showInputMessage="1" showErrorMessage="1" promptTitle="Help" prompt="Maximum 50000._x000a__x000a_Section 80CCD (1B) Additional Employee’s Contribution to NPS – An additional deduction of up to Rs 50,000 for the amount deposited by a taxpayer to their NPS account is eligible under this section apart from Rs 1.5 lacs u/s 80CCD(1)." sqref="F42" xr:uid="{00000000-0002-0000-0000-000012000000}">
      <formula1>0</formula1>
      <formula2>50000</formula2>
    </dataValidation>
    <dataValidation type="whole" allowBlank="1" showInputMessage="1" showErrorMessage="1" promptTitle="Select Selection" prompt="Use Value of 80EE up to 50000" sqref="F47" xr:uid="{00000000-0002-0000-0000-000013000000}">
      <formula1>0</formula1>
      <formula2>50000</formula2>
    </dataValidation>
    <dataValidation type="whole" allowBlank="1" showInputMessage="1" showErrorMessage="1" promptTitle="Select Selection" prompt="Use Value of 80EE, 80EEA and 80EEB" sqref="F48" xr:uid="{00000000-0002-0000-0000-000014000000}">
      <formula1>0</formula1>
      <formula2>150000</formula2>
    </dataValidation>
    <dataValidation type="whole" operator="lessThanOrEqual" allowBlank="1" showInputMessage="1" showErrorMessage="1" promptTitle="Help" prompt="Type here your LTA Bills if applicable. _x000a__x000a_Once you put the Monthly LTA figure in E8 cell-LTA exemption will be given in old regime and exemption will be not considered in new regime" sqref="F19" xr:uid="{DAFFC63D-EEBA-4435-8020-5B9A3A9635D8}">
      <formula1>E8*12</formula1>
    </dataValidation>
    <dataValidation type="whole" allowBlank="1" showInputMessage="1" showErrorMessage="1" promptTitle="Help" prompt="Other reimbursements considered as non taxable" sqref="H15" xr:uid="{F5B39187-0394-4E1C-8A04-9F67001B26F1}">
      <formula1>0</formula1>
      <formula2>1</formula2>
    </dataValidation>
    <dataValidation type="whole" allowBlank="1" showInputMessage="1" showErrorMessage="1" promptTitle="Help" prompt="we have considered Meal voucher, Education allowance, hostel allowance, washing allowance ,uniform allowance and other reimbursement as non taxable" sqref="F15" xr:uid="{D8D25A47-A48E-406F-9D17-15553180A04F}">
      <formula1>0</formula1>
      <formula2>0</formula2>
    </dataValidation>
    <dataValidation type="whole" allowBlank="1" showInputMessage="1" showErrorMessage="1" promptTitle="Help" prompt="Auto Calculate on the basis of Rent amount and Location for a year._x000a_1.Basic Salary(E2)_x000a_2.House rent allowance(E3)_x000a_3.Monthly house rent paid((H9)       _x000a_4.Rent location(Metro/Non-Metro)(H10)" sqref="F18" xr:uid="{A8FAE56A-E626-4A5A-BB4E-E45DD0700488}">
      <formula1>0</formula1>
      <formula2>0</formula2>
    </dataValidation>
    <dataValidation operator="equal" showInputMessage="1" showErrorMessage="1" promptTitle="Not Applicable in new tax slabs" sqref="H17" xr:uid="{7A718E1F-7323-4030-9B2F-60E69BD7DB87}"/>
  </dataValidations>
  <hyperlinks>
    <hyperlink ref="C64:H64" r:id="rId1" display="This Utility Prepared by SGC Services Pvt Ltd and download from www.sgcservicesblog.com" xr:uid="{00000000-0004-0000-0000-000000000000}"/>
  </hyperlinks>
  <printOptions horizontalCentered="1"/>
  <pageMargins left="0" right="0" top="0" bottom="0" header="0.23622047244094499" footer="0.31496062992126"/>
  <pageSetup paperSize="9" scale="71" orientation="portrait" verticalDpi="1200" r:id="rId2"/>
  <headerFooter>
    <oddHeader>&amp;C&amp;F</oddHeader>
  </headerFooter>
  <drawing r:id="rId3"/>
  <legacyDrawing r:id="rId4"/>
  <controls>
    <mc:AlternateContent xmlns:mc="http://schemas.openxmlformats.org/markup-compatibility/2006">
      <mc:Choice Requires="x14">
        <control shapeId="1029" r:id="rId5" name="CommandButton2">
          <controlPr defaultSize="0" autoLine="0" r:id="rId6">
            <anchor moveWithCells="1">
              <from>
                <xdr:col>9</xdr:col>
                <xdr:colOff>142875</xdr:colOff>
                <xdr:row>4</xdr:row>
                <xdr:rowOff>9525</xdr:rowOff>
              </from>
              <to>
                <xdr:col>10</xdr:col>
                <xdr:colOff>9525</xdr:colOff>
                <xdr:row>5</xdr:row>
                <xdr:rowOff>219075</xdr:rowOff>
              </to>
            </anchor>
          </controlPr>
        </control>
      </mc:Choice>
      <mc:Fallback>
        <control shapeId="1029" r:id="rId5" name="CommandButton2"/>
      </mc:Fallback>
    </mc:AlternateContent>
    <mc:AlternateContent xmlns:mc="http://schemas.openxmlformats.org/markup-compatibility/2006">
      <mc:Choice Requires="x14">
        <control shapeId="1028" r:id="rId7" name="CommandButton1">
          <controlPr defaultSize="0" autoLine="0" r:id="rId8">
            <anchor moveWithCells="1">
              <from>
                <xdr:col>9</xdr:col>
                <xdr:colOff>133350</xdr:colOff>
                <xdr:row>2</xdr:row>
                <xdr:rowOff>0</xdr:rowOff>
              </from>
              <to>
                <xdr:col>10</xdr:col>
                <xdr:colOff>0</xdr:colOff>
                <xdr:row>3</xdr:row>
                <xdr:rowOff>209550</xdr:rowOff>
              </to>
            </anchor>
          </controlPr>
        </control>
      </mc:Choice>
      <mc:Fallback>
        <control shapeId="1028" r:id="rId7" name="CommandButton1"/>
      </mc:Fallback>
    </mc:AlternateContent>
    <mc:AlternateContent xmlns:mc="http://schemas.openxmlformats.org/markup-compatibility/2006">
      <mc:Choice Requires="x14">
        <control shapeId="1031" r:id="rId9" name="CommandButton3">
          <controlPr defaultSize="0" autoLine="0" r:id="rId10">
            <anchor moveWithCells="1">
              <from>
                <xdr:col>9</xdr:col>
                <xdr:colOff>142875</xdr:colOff>
                <xdr:row>0</xdr:row>
                <xdr:rowOff>57150</xdr:rowOff>
              </from>
              <to>
                <xdr:col>10</xdr:col>
                <xdr:colOff>9525</xdr:colOff>
                <xdr:row>1</xdr:row>
                <xdr:rowOff>209550</xdr:rowOff>
              </to>
            </anchor>
          </controlPr>
        </control>
      </mc:Choice>
      <mc:Fallback>
        <control shapeId="1031" r:id="rId9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D56"/>
  <sheetViews>
    <sheetView topLeftCell="A10" zoomScaleNormal="100" workbookViewId="0">
      <selection activeCell="D30" sqref="D30"/>
    </sheetView>
  </sheetViews>
  <sheetFormatPr defaultColWidth="0" defaultRowHeight="15" x14ac:dyDescent="0.3"/>
  <cols>
    <col min="1" max="2" width="4.28515625" style="3" customWidth="1"/>
    <col min="3" max="3" width="10.140625" style="3" bestFit="1" customWidth="1"/>
    <col min="4" max="4" width="13.5703125" style="4" bestFit="1" customWidth="1"/>
    <col min="5" max="5" width="13.42578125" style="4" bestFit="1" customWidth="1"/>
    <col min="6" max="6" width="13.5703125" style="4" bestFit="1" customWidth="1"/>
    <col min="7" max="7" width="9.28515625" style="4" bestFit="1" customWidth="1"/>
    <col min="8" max="8" width="12.5703125" style="4" bestFit="1" customWidth="1"/>
    <col min="9" max="9" width="5.5703125" style="3" customWidth="1"/>
    <col min="10" max="10" width="9.85546875" style="3" bestFit="1" customWidth="1"/>
    <col min="11" max="11" width="12.5703125" style="3" bestFit="1" customWidth="1"/>
    <col min="12" max="12" width="13.28515625" style="3" bestFit="1" customWidth="1"/>
    <col min="13" max="13" width="13.42578125" style="3" bestFit="1" customWidth="1"/>
    <col min="14" max="14" width="10.5703125" style="3" bestFit="1" customWidth="1"/>
    <col min="15" max="15" width="12.5703125" style="3" bestFit="1" customWidth="1"/>
    <col min="16" max="16" width="5.140625" style="3" customWidth="1"/>
    <col min="17" max="17" width="5.85546875" style="3" customWidth="1"/>
    <col min="18" max="18" width="12.5703125" style="3" hidden="1" customWidth="1"/>
    <col min="19" max="24" width="9.140625" style="3" hidden="1" customWidth="1"/>
    <col min="25" max="30" width="0" style="3" hidden="1" customWidth="1"/>
    <col min="31" max="16384" width="9.140625" style="3" hidden="1"/>
  </cols>
  <sheetData>
    <row r="1" spans="1:18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8" ht="21" x14ac:dyDescent="0.4">
      <c r="A2" s="6"/>
      <c r="B2" s="147" t="s">
        <v>25</v>
      </c>
      <c r="C2" s="148"/>
      <c r="D2" s="148"/>
      <c r="E2" s="148"/>
      <c r="F2" s="14"/>
      <c r="G2" s="14"/>
      <c r="H2" s="14"/>
      <c r="I2" s="14"/>
      <c r="J2" s="14"/>
      <c r="K2" s="14"/>
      <c r="L2" s="14"/>
      <c r="M2" s="14"/>
      <c r="N2" s="14"/>
      <c r="O2" s="14"/>
      <c r="P2" s="15"/>
      <c r="Q2" s="6"/>
    </row>
    <row r="3" spans="1:18" s="2" customFormat="1" ht="23.25" customHeight="1" x14ac:dyDescent="0.3">
      <c r="A3" s="7"/>
      <c r="B3" s="16"/>
      <c r="C3" s="22" t="s">
        <v>16</v>
      </c>
      <c r="D3" s="22" t="s">
        <v>4</v>
      </c>
      <c r="E3" s="22" t="s">
        <v>5</v>
      </c>
      <c r="F3" s="22" t="s">
        <v>6</v>
      </c>
      <c r="G3" s="22" t="s">
        <v>7</v>
      </c>
      <c r="H3" s="22" t="s">
        <v>8</v>
      </c>
      <c r="I3" s="27"/>
      <c r="J3" s="22" t="s">
        <v>16</v>
      </c>
      <c r="K3" s="22" t="s">
        <v>4</v>
      </c>
      <c r="L3" s="22" t="s">
        <v>5</v>
      </c>
      <c r="M3" s="22" t="s">
        <v>6</v>
      </c>
      <c r="N3" s="22" t="s">
        <v>9</v>
      </c>
      <c r="O3" s="22" t="s">
        <v>8</v>
      </c>
      <c r="P3" s="17"/>
      <c r="Q3" s="8"/>
    </row>
    <row r="4" spans="1:18" ht="15" customHeight="1" x14ac:dyDescent="0.3">
      <c r="A4" s="6"/>
      <c r="B4" s="11"/>
      <c r="C4" s="23" t="s">
        <v>19</v>
      </c>
      <c r="D4" s="24" t="s">
        <v>2</v>
      </c>
      <c r="E4" s="24">
        <v>0</v>
      </c>
      <c r="F4" s="24">
        <v>250000</v>
      </c>
      <c r="G4" s="24">
        <v>0</v>
      </c>
      <c r="H4" s="24">
        <v>0</v>
      </c>
      <c r="I4" s="6"/>
      <c r="J4" s="23" t="s">
        <v>17</v>
      </c>
      <c r="K4" s="24" t="s">
        <v>2</v>
      </c>
      <c r="L4" s="24">
        <v>0</v>
      </c>
      <c r="M4" s="24">
        <v>5000000</v>
      </c>
      <c r="N4" s="24">
        <v>0</v>
      </c>
      <c r="O4" s="24">
        <v>0</v>
      </c>
      <c r="P4" s="17"/>
      <c r="Q4" s="8"/>
    </row>
    <row r="5" spans="1:18" x14ac:dyDescent="0.3">
      <c r="A5" s="6"/>
      <c r="B5" s="11"/>
      <c r="C5" s="23" t="s">
        <v>19</v>
      </c>
      <c r="D5" s="24" t="s">
        <v>2</v>
      </c>
      <c r="E5" s="24">
        <f>F4+1</f>
        <v>250001</v>
      </c>
      <c r="F5" s="24">
        <v>500000</v>
      </c>
      <c r="G5" s="24">
        <v>5</v>
      </c>
      <c r="H5" s="24">
        <f>ROUND((F5-E5)*G5%,0)</f>
        <v>12500</v>
      </c>
      <c r="I5" s="6"/>
      <c r="J5" s="23" t="s">
        <v>17</v>
      </c>
      <c r="K5" s="24" t="s">
        <v>2</v>
      </c>
      <c r="L5" s="24">
        <f>+M4+1</f>
        <v>5000001</v>
      </c>
      <c r="M5" s="24">
        <v>5195890</v>
      </c>
      <c r="N5" s="24" t="s">
        <v>10</v>
      </c>
      <c r="O5" s="24">
        <v>0</v>
      </c>
      <c r="P5" s="17"/>
      <c r="Q5" s="8"/>
    </row>
    <row r="6" spans="1:18" x14ac:dyDescent="0.3">
      <c r="A6" s="6"/>
      <c r="B6" s="11"/>
      <c r="C6" s="23" t="s">
        <v>19</v>
      </c>
      <c r="D6" s="24" t="s">
        <v>2</v>
      </c>
      <c r="E6" s="24">
        <f t="shared" ref="E6:E7" si="0">F5+1</f>
        <v>500001</v>
      </c>
      <c r="F6" s="24">
        <v>1000000</v>
      </c>
      <c r="G6" s="24">
        <v>20</v>
      </c>
      <c r="H6" s="24">
        <f>ROUND((F6-E6)*G6%,0)</f>
        <v>100000</v>
      </c>
      <c r="I6" s="6"/>
      <c r="J6" s="23" t="s">
        <v>17</v>
      </c>
      <c r="K6" s="24" t="s">
        <v>2</v>
      </c>
      <c r="L6" s="24">
        <f>+M5+1</f>
        <v>5195891</v>
      </c>
      <c r="M6" s="24">
        <v>10000000</v>
      </c>
      <c r="N6" s="24">
        <v>10</v>
      </c>
      <c r="O6" s="24">
        <v>0</v>
      </c>
      <c r="P6" s="17"/>
      <c r="Q6" s="8"/>
    </row>
    <row r="7" spans="1:18" x14ac:dyDescent="0.3">
      <c r="A7" s="6"/>
      <c r="B7" s="11"/>
      <c r="C7" s="23" t="s">
        <v>19</v>
      </c>
      <c r="D7" s="24" t="s">
        <v>2</v>
      </c>
      <c r="E7" s="24">
        <f t="shared" si="0"/>
        <v>1000001</v>
      </c>
      <c r="F7" s="24" t="s">
        <v>11</v>
      </c>
      <c r="G7" s="24">
        <v>30</v>
      </c>
      <c r="H7" s="25">
        <f>H6+H5</f>
        <v>112500</v>
      </c>
      <c r="I7" s="6"/>
      <c r="J7" s="23" t="s">
        <v>17</v>
      </c>
      <c r="K7" s="24" t="s">
        <v>2</v>
      </c>
      <c r="L7" s="24">
        <f t="shared" ref="L7:L12" si="1">+M6+1</f>
        <v>10000001</v>
      </c>
      <c r="M7" s="24">
        <v>10214700</v>
      </c>
      <c r="N7" s="24" t="s">
        <v>10</v>
      </c>
      <c r="O7" s="24">
        <v>281250</v>
      </c>
      <c r="P7" s="17"/>
      <c r="Q7" s="8"/>
    </row>
    <row r="8" spans="1:18" x14ac:dyDescent="0.3">
      <c r="A8" s="6"/>
      <c r="B8" s="11"/>
      <c r="C8" s="23"/>
      <c r="D8" s="24"/>
      <c r="E8" s="24"/>
      <c r="F8" s="24"/>
      <c r="G8" s="24"/>
      <c r="H8" s="24"/>
      <c r="I8" s="6"/>
      <c r="J8" s="23" t="s">
        <v>17</v>
      </c>
      <c r="K8" s="24" t="s">
        <v>2</v>
      </c>
      <c r="L8" s="24">
        <f t="shared" si="1"/>
        <v>10214701</v>
      </c>
      <c r="M8" s="24">
        <v>20000000</v>
      </c>
      <c r="N8" s="24">
        <v>15</v>
      </c>
      <c r="O8" s="24">
        <v>0</v>
      </c>
      <c r="P8" s="17"/>
      <c r="Q8" s="8"/>
    </row>
    <row r="9" spans="1:18" x14ac:dyDescent="0.3">
      <c r="A9" s="6"/>
      <c r="B9" s="11"/>
      <c r="C9" s="23" t="s">
        <v>19</v>
      </c>
      <c r="D9" s="24" t="s">
        <v>1</v>
      </c>
      <c r="E9" s="24">
        <v>0</v>
      </c>
      <c r="F9" s="24">
        <v>300000</v>
      </c>
      <c r="G9" s="24">
        <v>0</v>
      </c>
      <c r="H9" s="24">
        <v>0</v>
      </c>
      <c r="I9" s="6"/>
      <c r="J9" s="23" t="s">
        <v>17</v>
      </c>
      <c r="K9" s="24" t="s">
        <v>2</v>
      </c>
      <c r="L9" s="24">
        <f t="shared" si="1"/>
        <v>20000001</v>
      </c>
      <c r="M9" s="24">
        <v>20930000</v>
      </c>
      <c r="N9" s="24" t="s">
        <v>10</v>
      </c>
      <c r="O9" s="24">
        <v>871875</v>
      </c>
      <c r="P9" s="17"/>
      <c r="Q9" s="8"/>
    </row>
    <row r="10" spans="1:18" x14ac:dyDescent="0.3">
      <c r="A10" s="6"/>
      <c r="B10" s="11"/>
      <c r="C10" s="23" t="s">
        <v>19</v>
      </c>
      <c r="D10" s="24" t="s">
        <v>1</v>
      </c>
      <c r="E10" s="24">
        <f>F9+1</f>
        <v>300001</v>
      </c>
      <c r="F10" s="24">
        <v>500000</v>
      </c>
      <c r="G10" s="24">
        <v>5</v>
      </c>
      <c r="H10" s="24">
        <f>ROUND((F10-E10)*G10%,0)</f>
        <v>10000</v>
      </c>
      <c r="I10" s="6"/>
      <c r="J10" s="23" t="s">
        <v>17</v>
      </c>
      <c r="K10" s="24" t="s">
        <v>2</v>
      </c>
      <c r="L10" s="24">
        <f t="shared" si="1"/>
        <v>20930001</v>
      </c>
      <c r="M10" s="24">
        <v>50000000</v>
      </c>
      <c r="N10" s="24">
        <v>25</v>
      </c>
      <c r="O10" s="24">
        <v>0</v>
      </c>
      <c r="P10" s="17"/>
      <c r="Q10" s="8"/>
    </row>
    <row r="11" spans="1:18" x14ac:dyDescent="0.3">
      <c r="A11" s="6"/>
      <c r="B11" s="11"/>
      <c r="C11" s="23" t="s">
        <v>19</v>
      </c>
      <c r="D11" s="24" t="s">
        <v>1</v>
      </c>
      <c r="E11" s="24">
        <f t="shared" ref="E11:E12" si="2">F10+1</f>
        <v>500001</v>
      </c>
      <c r="F11" s="24">
        <v>1000000</v>
      </c>
      <c r="G11" s="24">
        <v>20</v>
      </c>
      <c r="H11" s="24">
        <f>ROUND((F11-E11)*G11%,0)</f>
        <v>100000</v>
      </c>
      <c r="I11" s="6"/>
      <c r="J11" s="23" t="s">
        <v>17</v>
      </c>
      <c r="K11" s="24" t="s">
        <v>2</v>
      </c>
      <c r="L11" s="24">
        <f t="shared" si="1"/>
        <v>50000001</v>
      </c>
      <c r="M11" s="24">
        <v>53017830</v>
      </c>
      <c r="N11" s="24" t="s">
        <v>10</v>
      </c>
      <c r="O11" s="24">
        <v>3703125</v>
      </c>
      <c r="P11" s="17"/>
      <c r="Q11" s="8"/>
    </row>
    <row r="12" spans="1:18" x14ac:dyDescent="0.3">
      <c r="A12" s="6"/>
      <c r="B12" s="11"/>
      <c r="C12" s="23" t="s">
        <v>19</v>
      </c>
      <c r="D12" s="24" t="s">
        <v>1</v>
      </c>
      <c r="E12" s="24">
        <f t="shared" si="2"/>
        <v>1000001</v>
      </c>
      <c r="F12" s="24" t="s">
        <v>11</v>
      </c>
      <c r="G12" s="24">
        <v>30</v>
      </c>
      <c r="H12" s="25">
        <f>H11+H10</f>
        <v>110000</v>
      </c>
      <c r="I12" s="6"/>
      <c r="J12" s="23" t="s">
        <v>17</v>
      </c>
      <c r="K12" s="24" t="s">
        <v>2</v>
      </c>
      <c r="L12" s="24">
        <f t="shared" si="1"/>
        <v>53017831</v>
      </c>
      <c r="M12" s="24" t="s">
        <v>11</v>
      </c>
      <c r="N12" s="24">
        <v>37</v>
      </c>
      <c r="O12" s="24">
        <v>0</v>
      </c>
      <c r="P12" s="17"/>
      <c r="Q12" s="8"/>
    </row>
    <row r="13" spans="1:18" x14ac:dyDescent="0.3">
      <c r="A13" s="6"/>
      <c r="B13" s="11"/>
      <c r="C13" s="28"/>
      <c r="D13" s="8"/>
      <c r="E13" s="8"/>
      <c r="F13" s="8"/>
      <c r="G13" s="8"/>
      <c r="H13" s="8"/>
      <c r="I13" s="6"/>
      <c r="J13" s="6"/>
      <c r="K13" s="9"/>
      <c r="L13" s="9"/>
      <c r="M13" s="9"/>
      <c r="N13" s="9"/>
      <c r="O13" s="29"/>
      <c r="P13" s="10"/>
      <c r="Q13" s="9"/>
      <c r="R13" s="4"/>
    </row>
    <row r="14" spans="1:18" x14ac:dyDescent="0.3">
      <c r="A14" s="6"/>
      <c r="B14" s="11"/>
      <c r="C14" s="30"/>
      <c r="D14" s="9"/>
      <c r="E14" s="9"/>
      <c r="F14" s="9"/>
      <c r="G14" s="9"/>
      <c r="H14" s="9"/>
      <c r="I14" s="6"/>
      <c r="J14" s="6"/>
      <c r="K14" s="6"/>
      <c r="L14" s="6"/>
      <c r="M14" s="6"/>
      <c r="N14" s="6"/>
      <c r="O14" s="31"/>
      <c r="P14" s="12"/>
      <c r="Q14" s="6"/>
    </row>
    <row r="15" spans="1:18" x14ac:dyDescent="0.3">
      <c r="A15" s="6"/>
      <c r="B15" s="11"/>
      <c r="C15" s="146" t="s">
        <v>20</v>
      </c>
      <c r="D15" s="146"/>
      <c r="E15" s="146"/>
      <c r="F15" s="146"/>
      <c r="G15" s="146"/>
      <c r="H15" s="146"/>
      <c r="I15" s="6"/>
      <c r="J15" s="22" t="s">
        <v>16</v>
      </c>
      <c r="K15" s="22" t="s">
        <v>4</v>
      </c>
      <c r="L15" s="22" t="s">
        <v>5</v>
      </c>
      <c r="M15" s="22" t="s">
        <v>6</v>
      </c>
      <c r="N15" s="22" t="s">
        <v>9</v>
      </c>
      <c r="O15" s="22" t="s">
        <v>8</v>
      </c>
      <c r="P15" s="12"/>
      <c r="Q15" s="6"/>
    </row>
    <row r="16" spans="1:18" x14ac:dyDescent="0.3">
      <c r="A16" s="6"/>
      <c r="B16" s="11"/>
      <c r="C16" s="22" t="s">
        <v>16</v>
      </c>
      <c r="D16" s="22" t="s">
        <v>6</v>
      </c>
      <c r="E16" s="22" t="s">
        <v>21</v>
      </c>
      <c r="F16" s="22" t="s">
        <v>9</v>
      </c>
      <c r="G16" s="22" t="s">
        <v>22</v>
      </c>
      <c r="H16" s="22" t="s">
        <v>23</v>
      </c>
      <c r="I16" s="6"/>
      <c r="J16" s="23" t="s">
        <v>17</v>
      </c>
      <c r="K16" s="24" t="s">
        <v>1</v>
      </c>
      <c r="L16" s="24">
        <v>0</v>
      </c>
      <c r="M16" s="24">
        <v>5000000</v>
      </c>
      <c r="N16" s="24">
        <v>0</v>
      </c>
      <c r="O16" s="24">
        <v>0</v>
      </c>
      <c r="P16" s="12"/>
      <c r="Q16" s="6"/>
    </row>
    <row r="17" spans="1:17" x14ac:dyDescent="0.3">
      <c r="A17" s="6"/>
      <c r="B17" s="11"/>
      <c r="C17" s="23" t="s">
        <v>17</v>
      </c>
      <c r="D17" s="24">
        <v>250000</v>
      </c>
      <c r="E17" s="24">
        <v>0</v>
      </c>
      <c r="F17" s="24">
        <f>E17*0%</f>
        <v>0</v>
      </c>
      <c r="G17" s="24">
        <f>(E17+F17)*4%</f>
        <v>0</v>
      </c>
      <c r="H17" s="24">
        <f>G17+F17+E17</f>
        <v>0</v>
      </c>
      <c r="I17" s="6"/>
      <c r="J17" s="23" t="s">
        <v>17</v>
      </c>
      <c r="K17" s="24" t="s">
        <v>1</v>
      </c>
      <c r="L17" s="24">
        <f t="shared" ref="L17:L24" si="3">+M16+1</f>
        <v>5000001</v>
      </c>
      <c r="M17" s="24">
        <v>5195530</v>
      </c>
      <c r="N17" s="24" t="s">
        <v>10</v>
      </c>
      <c r="O17" s="24">
        <v>0</v>
      </c>
      <c r="P17" s="12"/>
      <c r="Q17" s="6"/>
    </row>
    <row r="18" spans="1:17" x14ac:dyDescent="0.3">
      <c r="A18" s="6"/>
      <c r="B18" s="11"/>
      <c r="C18" s="23" t="s">
        <v>17</v>
      </c>
      <c r="D18" s="24">
        <v>500000</v>
      </c>
      <c r="E18" s="24">
        <v>5</v>
      </c>
      <c r="F18" s="24">
        <f t="shared" ref="F18:F20" si="4">E18*0%</f>
        <v>0</v>
      </c>
      <c r="G18" s="24">
        <f t="shared" ref="G18:G19" si="5">(E18+F18)*4%</f>
        <v>0.2</v>
      </c>
      <c r="H18" s="24">
        <f t="shared" ref="H18:H19" si="6">G18+F18+E18</f>
        <v>5.2</v>
      </c>
      <c r="I18" s="6"/>
      <c r="J18" s="23" t="s">
        <v>17</v>
      </c>
      <c r="K18" s="24" t="s">
        <v>1</v>
      </c>
      <c r="L18" s="24">
        <f t="shared" si="3"/>
        <v>5195531</v>
      </c>
      <c r="M18" s="24">
        <v>10000000</v>
      </c>
      <c r="N18" s="24">
        <v>10</v>
      </c>
      <c r="O18" s="24">
        <v>0</v>
      </c>
      <c r="P18" s="12"/>
      <c r="Q18" s="6"/>
    </row>
    <row r="19" spans="1:17" x14ac:dyDescent="0.3">
      <c r="A19" s="6"/>
      <c r="B19" s="11"/>
      <c r="C19" s="23" t="s">
        <v>17</v>
      </c>
      <c r="D19" s="24">
        <v>1000000</v>
      </c>
      <c r="E19" s="24">
        <v>20</v>
      </c>
      <c r="F19" s="24">
        <f t="shared" si="4"/>
        <v>0</v>
      </c>
      <c r="G19" s="24">
        <f t="shared" si="5"/>
        <v>0.8</v>
      </c>
      <c r="H19" s="24">
        <f t="shared" si="6"/>
        <v>20.8</v>
      </c>
      <c r="I19" s="6"/>
      <c r="J19" s="23" t="s">
        <v>17</v>
      </c>
      <c r="K19" s="24" t="s">
        <v>1</v>
      </c>
      <c r="L19" s="24">
        <f t="shared" si="3"/>
        <v>10000001</v>
      </c>
      <c r="M19" s="24">
        <v>10214510</v>
      </c>
      <c r="N19" s="24" t="s">
        <v>10</v>
      </c>
      <c r="O19" s="24">
        <v>281000</v>
      </c>
      <c r="P19" s="12"/>
      <c r="Q19" s="6"/>
    </row>
    <row r="20" spans="1:17" x14ac:dyDescent="0.3">
      <c r="A20" s="6"/>
      <c r="B20" s="11"/>
      <c r="C20" s="23" t="s">
        <v>17</v>
      </c>
      <c r="D20" s="24">
        <v>5000000</v>
      </c>
      <c r="E20" s="24">
        <v>30</v>
      </c>
      <c r="F20" s="24">
        <f t="shared" si="4"/>
        <v>0</v>
      </c>
      <c r="G20" s="24">
        <f>(E20+F20)*4%</f>
        <v>1.2</v>
      </c>
      <c r="H20" s="24">
        <f>G20+F20+E20</f>
        <v>31.2</v>
      </c>
      <c r="I20" s="6"/>
      <c r="J20" s="23" t="s">
        <v>17</v>
      </c>
      <c r="K20" s="24" t="s">
        <v>1</v>
      </c>
      <c r="L20" s="24">
        <f t="shared" si="3"/>
        <v>10214511</v>
      </c>
      <c r="M20" s="24">
        <v>20000000</v>
      </c>
      <c r="N20" s="24">
        <v>15</v>
      </c>
      <c r="O20" s="24">
        <v>0</v>
      </c>
      <c r="P20" s="12"/>
      <c r="Q20" s="6"/>
    </row>
    <row r="21" spans="1:17" x14ac:dyDescent="0.3">
      <c r="A21" s="6"/>
      <c r="B21" s="11"/>
      <c r="C21" s="23" t="s">
        <v>17</v>
      </c>
      <c r="D21" s="24">
        <v>10000000</v>
      </c>
      <c r="E21" s="24">
        <v>30</v>
      </c>
      <c r="F21" s="24">
        <f>E21*10%</f>
        <v>3</v>
      </c>
      <c r="G21" s="24">
        <f t="shared" ref="G21:G24" si="7">(E21+F21)*4%</f>
        <v>1.32</v>
      </c>
      <c r="H21" s="24">
        <f>G21+F21+E21</f>
        <v>34.32</v>
      </c>
      <c r="I21" s="6"/>
      <c r="J21" s="23" t="s">
        <v>17</v>
      </c>
      <c r="K21" s="24" t="s">
        <v>1</v>
      </c>
      <c r="L21" s="24">
        <f t="shared" si="3"/>
        <v>20000001</v>
      </c>
      <c r="M21" s="24">
        <v>20929600</v>
      </c>
      <c r="N21" s="24" t="s">
        <v>10</v>
      </c>
      <c r="O21" s="24">
        <v>871500</v>
      </c>
      <c r="P21" s="12"/>
      <c r="Q21" s="6"/>
    </row>
    <row r="22" spans="1:17" x14ac:dyDescent="0.3">
      <c r="A22" s="6"/>
      <c r="B22" s="11"/>
      <c r="C22" s="23" t="s">
        <v>17</v>
      </c>
      <c r="D22" s="24">
        <v>20000000</v>
      </c>
      <c r="E22" s="24">
        <v>30</v>
      </c>
      <c r="F22" s="24">
        <f>E22*15%</f>
        <v>4.5</v>
      </c>
      <c r="G22" s="24">
        <f t="shared" si="7"/>
        <v>1.3800000000000001</v>
      </c>
      <c r="H22" s="24">
        <f>G22+F22+E22</f>
        <v>35.880000000000003</v>
      </c>
      <c r="I22" s="6"/>
      <c r="J22" s="23" t="s">
        <v>17</v>
      </c>
      <c r="K22" s="24" t="s">
        <v>1</v>
      </c>
      <c r="L22" s="24">
        <f t="shared" si="3"/>
        <v>20929601</v>
      </c>
      <c r="M22" s="24">
        <v>50000000</v>
      </c>
      <c r="N22" s="24">
        <v>25</v>
      </c>
      <c r="O22" s="24">
        <v>0</v>
      </c>
      <c r="P22" s="12"/>
      <c r="Q22" s="6"/>
    </row>
    <row r="23" spans="1:17" x14ac:dyDescent="0.3">
      <c r="A23" s="6"/>
      <c r="B23" s="11"/>
      <c r="C23" s="23" t="s">
        <v>17</v>
      </c>
      <c r="D23" s="24">
        <v>50000000</v>
      </c>
      <c r="E23" s="24">
        <v>30</v>
      </c>
      <c r="F23" s="24">
        <f>E23*25%</f>
        <v>7.5</v>
      </c>
      <c r="G23" s="24">
        <f t="shared" si="7"/>
        <v>1.5</v>
      </c>
      <c r="H23" s="24">
        <f>G23+F23+E23</f>
        <v>39</v>
      </c>
      <c r="I23" s="6"/>
      <c r="J23" s="23" t="s">
        <v>17</v>
      </c>
      <c r="K23" s="24" t="s">
        <v>1</v>
      </c>
      <c r="L23" s="24">
        <f t="shared" si="3"/>
        <v>50000001</v>
      </c>
      <c r="M23" s="24">
        <v>53017320</v>
      </c>
      <c r="N23" s="24" t="s">
        <v>10</v>
      </c>
      <c r="O23" s="24">
        <v>3702500</v>
      </c>
      <c r="P23" s="12"/>
      <c r="Q23" s="6"/>
    </row>
    <row r="24" spans="1:17" x14ac:dyDescent="0.3">
      <c r="A24" s="6"/>
      <c r="B24" s="11"/>
      <c r="C24" s="23" t="s">
        <v>17</v>
      </c>
      <c r="D24" s="24" t="s">
        <v>24</v>
      </c>
      <c r="E24" s="24">
        <v>30</v>
      </c>
      <c r="F24" s="24">
        <f>E24*37%</f>
        <v>11.1</v>
      </c>
      <c r="G24" s="24">
        <f t="shared" si="7"/>
        <v>1.6440000000000001</v>
      </c>
      <c r="H24" s="24">
        <f>G24+F24+E24</f>
        <v>42.744</v>
      </c>
      <c r="I24" s="32"/>
      <c r="J24" s="23" t="s">
        <v>17</v>
      </c>
      <c r="K24" s="24" t="s">
        <v>1</v>
      </c>
      <c r="L24" s="24">
        <f t="shared" si="3"/>
        <v>53017321</v>
      </c>
      <c r="M24" s="24" t="s">
        <v>11</v>
      </c>
      <c r="N24" s="24">
        <v>37</v>
      </c>
      <c r="O24" s="24">
        <v>0</v>
      </c>
      <c r="P24" s="12"/>
      <c r="Q24" s="6"/>
    </row>
    <row r="25" spans="1:17" x14ac:dyDescent="0.3">
      <c r="A25" s="6"/>
      <c r="B25" s="11"/>
      <c r="C25" s="6"/>
      <c r="D25" s="9"/>
      <c r="E25" s="9"/>
      <c r="F25" s="9"/>
      <c r="G25" s="9"/>
      <c r="H25" s="9"/>
      <c r="I25" s="6"/>
      <c r="J25" s="6"/>
      <c r="K25" s="6"/>
      <c r="L25" s="6"/>
      <c r="M25" s="6"/>
      <c r="N25" s="6"/>
      <c r="O25" s="6"/>
      <c r="P25" s="12"/>
      <c r="Q25" s="6"/>
    </row>
    <row r="26" spans="1:17" x14ac:dyDescent="0.3">
      <c r="A26" s="6"/>
      <c r="B26" s="18"/>
      <c r="C26" s="13"/>
      <c r="D26" s="19"/>
      <c r="E26" s="19"/>
      <c r="F26" s="19"/>
      <c r="G26" s="19"/>
      <c r="H26" s="19"/>
      <c r="I26" s="13"/>
      <c r="J26" s="13"/>
      <c r="K26" s="13"/>
      <c r="L26" s="13"/>
      <c r="M26" s="13"/>
      <c r="N26" s="13"/>
      <c r="O26" s="13"/>
      <c r="P26" s="20"/>
      <c r="Q26" s="6"/>
    </row>
    <row r="27" spans="1:17" ht="6.75" customHeight="1" x14ac:dyDescent="0.3">
      <c r="A27" s="6"/>
      <c r="B27" s="11"/>
      <c r="C27" s="6"/>
      <c r="D27" s="9"/>
      <c r="E27" s="9"/>
      <c r="F27" s="9"/>
      <c r="G27" s="9"/>
      <c r="H27" s="9"/>
      <c r="I27" s="6"/>
      <c r="J27" s="6"/>
      <c r="K27" s="6"/>
      <c r="L27" s="6"/>
      <c r="M27" s="6"/>
      <c r="N27" s="6"/>
      <c r="O27" s="6"/>
      <c r="P27" s="12"/>
      <c r="Q27" s="6"/>
    </row>
    <row r="28" spans="1:17" ht="7.5" customHeight="1" x14ac:dyDescent="0.3">
      <c r="A28" s="6"/>
      <c r="B28" s="11"/>
      <c r="C28" s="6"/>
      <c r="D28" s="9"/>
      <c r="E28" s="9"/>
      <c r="F28" s="9"/>
      <c r="G28" s="9"/>
      <c r="H28" s="9"/>
      <c r="I28" s="6"/>
      <c r="J28" s="6"/>
      <c r="K28" s="6"/>
      <c r="L28" s="6"/>
      <c r="M28" s="6"/>
      <c r="N28" s="6"/>
      <c r="O28" s="6"/>
      <c r="P28" s="12"/>
      <c r="Q28" s="6"/>
    </row>
    <row r="29" spans="1:17" ht="21" x14ac:dyDescent="0.4">
      <c r="A29" s="6"/>
      <c r="B29" s="147" t="s">
        <v>26</v>
      </c>
      <c r="C29" s="148"/>
      <c r="D29" s="148"/>
      <c r="E29" s="148"/>
      <c r="F29" s="21"/>
      <c r="G29" s="21"/>
      <c r="H29" s="21"/>
      <c r="I29" s="14"/>
      <c r="J29" s="14"/>
      <c r="K29" s="14"/>
      <c r="L29" s="14"/>
      <c r="M29" s="14"/>
      <c r="N29" s="14"/>
      <c r="O29" s="14"/>
      <c r="P29" s="15"/>
      <c r="Q29" s="6"/>
    </row>
    <row r="30" spans="1:17" x14ac:dyDescent="0.3">
      <c r="A30" s="6"/>
      <c r="B30" s="11"/>
      <c r="C30" s="26" t="s">
        <v>16</v>
      </c>
      <c r="D30" s="26" t="s">
        <v>4</v>
      </c>
      <c r="E30" s="26" t="s">
        <v>5</v>
      </c>
      <c r="F30" s="26" t="s">
        <v>6</v>
      </c>
      <c r="G30" s="26" t="s">
        <v>7</v>
      </c>
      <c r="H30" s="26" t="s">
        <v>8</v>
      </c>
      <c r="I30" s="33"/>
      <c r="J30" s="26" t="s">
        <v>16</v>
      </c>
      <c r="K30" s="26" t="s">
        <v>4</v>
      </c>
      <c r="L30" s="26" t="s">
        <v>5</v>
      </c>
      <c r="M30" s="26" t="s">
        <v>6</v>
      </c>
      <c r="N30" s="26" t="s">
        <v>9</v>
      </c>
      <c r="O30" s="26" t="s">
        <v>8</v>
      </c>
      <c r="P30" s="12"/>
      <c r="Q30" s="6"/>
    </row>
    <row r="31" spans="1:17" x14ac:dyDescent="0.3">
      <c r="A31" s="6"/>
      <c r="B31" s="11"/>
      <c r="C31" s="23" t="s">
        <v>18</v>
      </c>
      <c r="D31" s="24" t="s">
        <v>2</v>
      </c>
      <c r="E31" s="24">
        <v>0</v>
      </c>
      <c r="F31" s="24">
        <v>300000</v>
      </c>
      <c r="G31" s="24">
        <v>0</v>
      </c>
      <c r="H31" s="24">
        <v>0</v>
      </c>
      <c r="I31" s="6"/>
      <c r="J31" s="23" t="s">
        <v>18</v>
      </c>
      <c r="K31" s="24" t="s">
        <v>15</v>
      </c>
      <c r="L31" s="24">
        <v>0</v>
      </c>
      <c r="M31" s="24">
        <v>5000000</v>
      </c>
      <c r="N31" s="24">
        <v>0</v>
      </c>
      <c r="O31" s="24">
        <v>0</v>
      </c>
      <c r="P31" s="12"/>
      <c r="Q31" s="6"/>
    </row>
    <row r="32" spans="1:17" x14ac:dyDescent="0.3">
      <c r="A32" s="6"/>
      <c r="B32" s="11"/>
      <c r="C32" s="23" t="s">
        <v>18</v>
      </c>
      <c r="D32" s="24" t="s">
        <v>2</v>
      </c>
      <c r="E32" s="24">
        <f t="shared" ref="E32:E36" si="8">F31+1</f>
        <v>300001</v>
      </c>
      <c r="F32" s="24">
        <f>F31+300000</f>
        <v>600000</v>
      </c>
      <c r="G32" s="24">
        <v>5</v>
      </c>
      <c r="H32" s="24">
        <f>ROUND((F32-E32)*G32%,0)</f>
        <v>15000</v>
      </c>
      <c r="I32" s="6"/>
      <c r="J32" s="23" t="s">
        <v>18</v>
      </c>
      <c r="K32" s="24" t="s">
        <v>15</v>
      </c>
      <c r="L32" s="24">
        <f t="shared" ref="L32:L37" si="9">+M31+1</f>
        <v>5000001</v>
      </c>
      <c r="M32" s="25">
        <v>5179105</v>
      </c>
      <c r="N32" s="24" t="s">
        <v>10</v>
      </c>
      <c r="O32" s="24">
        <v>0</v>
      </c>
      <c r="P32" s="12"/>
      <c r="Q32" s="6"/>
    </row>
    <row r="33" spans="1:18" x14ac:dyDescent="0.3">
      <c r="A33" s="6"/>
      <c r="B33" s="11"/>
      <c r="C33" s="23" t="s">
        <v>18</v>
      </c>
      <c r="D33" s="24" t="s">
        <v>2</v>
      </c>
      <c r="E33" s="24">
        <f t="shared" si="8"/>
        <v>600001</v>
      </c>
      <c r="F33" s="24">
        <f>F32+300000</f>
        <v>900000</v>
      </c>
      <c r="G33" s="24">
        <v>10</v>
      </c>
      <c r="H33" s="24">
        <f>ROUND((F33-E33)*G33%,0)</f>
        <v>30000</v>
      </c>
      <c r="I33" s="6"/>
      <c r="J33" s="23" t="s">
        <v>18</v>
      </c>
      <c r="K33" s="24" t="s">
        <v>15</v>
      </c>
      <c r="L33" s="24">
        <f t="shared" si="9"/>
        <v>5179106</v>
      </c>
      <c r="M33" s="24">
        <v>10000000</v>
      </c>
      <c r="N33" s="24">
        <v>10</v>
      </c>
      <c r="O33" s="24">
        <v>0</v>
      </c>
      <c r="P33" s="17"/>
      <c r="Q33" s="8"/>
      <c r="R33" s="5"/>
    </row>
    <row r="34" spans="1:18" x14ac:dyDescent="0.3">
      <c r="A34" s="6"/>
      <c r="B34" s="11"/>
      <c r="C34" s="23" t="s">
        <v>18</v>
      </c>
      <c r="D34" s="24" t="s">
        <v>2</v>
      </c>
      <c r="E34" s="24">
        <f t="shared" si="8"/>
        <v>900001</v>
      </c>
      <c r="F34" s="24">
        <f>F33+300000</f>
        <v>1200000</v>
      </c>
      <c r="G34" s="24">
        <v>15</v>
      </c>
      <c r="H34" s="24">
        <f>ROUND((F34-E34)*G34%,0)</f>
        <v>45000</v>
      </c>
      <c r="I34" s="6"/>
      <c r="J34" s="23" t="s">
        <v>18</v>
      </c>
      <c r="K34" s="24" t="s">
        <v>15</v>
      </c>
      <c r="L34" s="24">
        <f t="shared" si="9"/>
        <v>10000001</v>
      </c>
      <c r="M34" s="25">
        <v>10206107</v>
      </c>
      <c r="N34" s="24" t="s">
        <v>10</v>
      </c>
      <c r="O34" s="24">
        <v>270000</v>
      </c>
      <c r="P34" s="17"/>
      <c r="Q34" s="8"/>
      <c r="R34" s="5"/>
    </row>
    <row r="35" spans="1:18" x14ac:dyDescent="0.3">
      <c r="A35" s="6"/>
      <c r="B35" s="11"/>
      <c r="C35" s="23" t="s">
        <v>18</v>
      </c>
      <c r="D35" s="24" t="s">
        <v>2</v>
      </c>
      <c r="E35" s="24">
        <f t="shared" si="8"/>
        <v>1200001</v>
      </c>
      <c r="F35" s="24">
        <f>F34+300000</f>
        <v>1500000</v>
      </c>
      <c r="G35" s="24">
        <v>20</v>
      </c>
      <c r="H35" s="24">
        <f>ROUND((F35-E35)*G35%,0)</f>
        <v>60000</v>
      </c>
      <c r="I35" s="6"/>
      <c r="J35" s="23" t="s">
        <v>18</v>
      </c>
      <c r="K35" s="24" t="s">
        <v>15</v>
      </c>
      <c r="L35" s="24">
        <f t="shared" si="9"/>
        <v>10206108</v>
      </c>
      <c r="M35" s="24">
        <v>20000000</v>
      </c>
      <c r="N35" s="24">
        <v>15</v>
      </c>
      <c r="O35" s="24">
        <v>0</v>
      </c>
      <c r="P35" s="17"/>
      <c r="Q35" s="8"/>
      <c r="R35" s="5"/>
    </row>
    <row r="36" spans="1:18" x14ac:dyDescent="0.3">
      <c r="A36" s="6"/>
      <c r="B36" s="11"/>
      <c r="C36" s="23" t="s">
        <v>18</v>
      </c>
      <c r="D36" s="24" t="s">
        <v>2</v>
      </c>
      <c r="E36" s="24">
        <f t="shared" si="8"/>
        <v>1500001</v>
      </c>
      <c r="F36" s="24" t="s">
        <v>11</v>
      </c>
      <c r="G36" s="24">
        <v>30</v>
      </c>
      <c r="H36" s="25">
        <f>SUM(H32:H35)</f>
        <v>150000</v>
      </c>
      <c r="I36" s="6"/>
      <c r="J36" s="23" t="s">
        <v>18</v>
      </c>
      <c r="K36" s="24" t="s">
        <v>15</v>
      </c>
      <c r="L36" s="24">
        <f t="shared" si="9"/>
        <v>20000001</v>
      </c>
      <c r="M36" s="25">
        <v>20912000</v>
      </c>
      <c r="N36" s="24" t="s">
        <v>10</v>
      </c>
      <c r="O36" s="24">
        <v>855000</v>
      </c>
      <c r="P36" s="17"/>
      <c r="Q36" s="8"/>
      <c r="R36" s="5"/>
    </row>
    <row r="37" spans="1:18" x14ac:dyDescent="0.3">
      <c r="A37" s="6"/>
      <c r="B37" s="11"/>
      <c r="C37" s="30"/>
      <c r="D37" s="9"/>
      <c r="E37" s="9"/>
      <c r="F37" s="9"/>
      <c r="G37" s="9"/>
      <c r="H37" s="9"/>
      <c r="I37" s="6"/>
      <c r="J37" s="23" t="s">
        <v>18</v>
      </c>
      <c r="K37" s="24" t="s">
        <v>15</v>
      </c>
      <c r="L37" s="24">
        <f t="shared" si="9"/>
        <v>20912001</v>
      </c>
      <c r="M37" s="24" t="s">
        <v>11</v>
      </c>
      <c r="N37" s="24">
        <v>25</v>
      </c>
      <c r="O37" s="24">
        <v>0</v>
      </c>
      <c r="P37" s="17"/>
      <c r="Q37" s="8"/>
      <c r="R37" s="5"/>
    </row>
    <row r="38" spans="1:18" x14ac:dyDescent="0.3">
      <c r="A38" s="6"/>
      <c r="B38" s="11"/>
      <c r="C38" s="30"/>
      <c r="D38" s="9"/>
      <c r="E38" s="9"/>
      <c r="F38" s="9"/>
      <c r="G38" s="9"/>
      <c r="H38" s="9"/>
      <c r="I38" s="6"/>
      <c r="J38" s="6"/>
      <c r="K38" s="6"/>
      <c r="L38" s="6"/>
      <c r="M38" s="6"/>
      <c r="N38" s="6"/>
      <c r="O38" s="31"/>
      <c r="P38" s="17"/>
      <c r="Q38" s="8"/>
      <c r="R38" s="5"/>
    </row>
    <row r="39" spans="1:18" x14ac:dyDescent="0.3">
      <c r="A39" s="6"/>
      <c r="B39" s="11"/>
      <c r="C39" s="30"/>
      <c r="D39" s="9"/>
      <c r="E39" s="9"/>
      <c r="F39" s="9"/>
      <c r="G39" s="9"/>
      <c r="H39" s="9"/>
      <c r="I39" s="6"/>
      <c r="J39" s="6"/>
      <c r="K39" s="6"/>
      <c r="L39" s="6"/>
      <c r="M39" s="6"/>
      <c r="N39" s="6"/>
      <c r="O39" s="31"/>
      <c r="P39" s="17"/>
      <c r="Q39" s="8"/>
      <c r="R39" s="5"/>
    </row>
    <row r="40" spans="1:18" x14ac:dyDescent="0.3">
      <c r="A40" s="6"/>
      <c r="B40" s="11"/>
      <c r="C40" s="30"/>
      <c r="D40" s="9"/>
      <c r="E40" s="9"/>
      <c r="F40" s="9"/>
      <c r="G40" s="9"/>
      <c r="H40" s="9"/>
      <c r="I40" s="6"/>
      <c r="J40" s="6"/>
      <c r="K40" s="6"/>
      <c r="L40" s="6"/>
      <c r="M40" s="6"/>
      <c r="N40" s="6"/>
      <c r="O40" s="31"/>
      <c r="P40" s="17"/>
      <c r="Q40" s="8"/>
      <c r="R40" s="5"/>
    </row>
    <row r="41" spans="1:18" x14ac:dyDescent="0.3">
      <c r="A41" s="6"/>
      <c r="B41" s="11"/>
      <c r="C41" s="145" t="s">
        <v>20</v>
      </c>
      <c r="D41" s="145"/>
      <c r="E41" s="145"/>
      <c r="F41" s="145"/>
      <c r="G41" s="145"/>
      <c r="H41" s="145"/>
      <c r="I41" s="6"/>
      <c r="J41" s="6"/>
      <c r="K41" s="6"/>
      <c r="L41" s="6"/>
      <c r="M41" s="6"/>
      <c r="N41" s="6"/>
      <c r="O41" s="31"/>
      <c r="P41" s="17"/>
      <c r="Q41" s="8"/>
      <c r="R41" s="5"/>
    </row>
    <row r="42" spans="1:18" x14ac:dyDescent="0.3">
      <c r="A42" s="6"/>
      <c r="B42" s="11"/>
      <c r="C42" s="97" t="s">
        <v>16</v>
      </c>
      <c r="D42" s="97" t="s">
        <v>6</v>
      </c>
      <c r="E42" s="97" t="s">
        <v>21</v>
      </c>
      <c r="F42" s="97" t="s">
        <v>9</v>
      </c>
      <c r="G42" s="97" t="s">
        <v>22</v>
      </c>
      <c r="H42" s="97" t="s">
        <v>23</v>
      </c>
      <c r="I42" s="6"/>
      <c r="J42" s="6"/>
      <c r="K42" s="6"/>
      <c r="L42" s="6"/>
      <c r="M42" s="6"/>
      <c r="N42" s="6"/>
      <c r="O42" s="31"/>
      <c r="P42" s="17"/>
      <c r="Q42" s="8"/>
      <c r="R42" s="5"/>
    </row>
    <row r="43" spans="1:18" x14ac:dyDescent="0.3">
      <c r="A43" s="6"/>
      <c r="B43" s="11"/>
      <c r="C43" s="23" t="s">
        <v>18</v>
      </c>
      <c r="D43" s="24">
        <v>300000</v>
      </c>
      <c r="E43" s="24">
        <v>0</v>
      </c>
      <c r="F43" s="24">
        <f t="shared" ref="F43:F48" si="10">E43*0%</f>
        <v>0</v>
      </c>
      <c r="G43" s="24">
        <f t="shared" ref="G43:G48" si="11">(E43+F43)*4%</f>
        <v>0</v>
      </c>
      <c r="H43" s="24">
        <f t="shared" ref="H43:H49" si="12">G43+F43+E43</f>
        <v>0</v>
      </c>
      <c r="I43" s="6"/>
      <c r="J43" s="6"/>
      <c r="K43" s="6"/>
      <c r="L43" s="6"/>
      <c r="M43" s="6"/>
      <c r="N43" s="6"/>
      <c r="O43" s="31"/>
      <c r="P43" s="12"/>
      <c r="Q43" s="6"/>
    </row>
    <row r="44" spans="1:18" x14ac:dyDescent="0.3">
      <c r="A44" s="6"/>
      <c r="B44" s="11"/>
      <c r="C44" s="23" t="s">
        <v>18</v>
      </c>
      <c r="D44" s="24">
        <f>D43+300000</f>
        <v>600000</v>
      </c>
      <c r="E44" s="24">
        <v>5</v>
      </c>
      <c r="F44" s="24">
        <f t="shared" si="10"/>
        <v>0</v>
      </c>
      <c r="G44" s="24">
        <f t="shared" si="11"/>
        <v>0.2</v>
      </c>
      <c r="H44" s="24">
        <f t="shared" si="12"/>
        <v>5.2</v>
      </c>
      <c r="I44" s="6"/>
      <c r="J44" s="6"/>
      <c r="K44" s="6"/>
      <c r="L44" s="6"/>
      <c r="M44" s="6"/>
      <c r="N44" s="6"/>
      <c r="O44" s="31"/>
      <c r="P44" s="12"/>
      <c r="Q44" s="6"/>
    </row>
    <row r="45" spans="1:18" x14ac:dyDescent="0.3">
      <c r="A45" s="6"/>
      <c r="B45" s="11"/>
      <c r="C45" s="23" t="s">
        <v>18</v>
      </c>
      <c r="D45" s="24">
        <f>D44+300000</f>
        <v>900000</v>
      </c>
      <c r="E45" s="24">
        <v>10</v>
      </c>
      <c r="F45" s="24">
        <f t="shared" si="10"/>
        <v>0</v>
      </c>
      <c r="G45" s="24">
        <f t="shared" si="11"/>
        <v>0.4</v>
      </c>
      <c r="H45" s="24">
        <f t="shared" si="12"/>
        <v>10.4</v>
      </c>
      <c r="I45" s="6"/>
      <c r="J45" s="6"/>
      <c r="K45" s="6"/>
      <c r="L45" s="6"/>
      <c r="M45" s="6"/>
      <c r="N45" s="6"/>
      <c r="O45" s="31"/>
      <c r="P45" s="12"/>
      <c r="Q45" s="6"/>
    </row>
    <row r="46" spans="1:18" x14ac:dyDescent="0.3">
      <c r="A46" s="6"/>
      <c r="B46" s="11"/>
      <c r="C46" s="23" t="s">
        <v>18</v>
      </c>
      <c r="D46" s="24">
        <f>D45+300000</f>
        <v>1200000</v>
      </c>
      <c r="E46" s="24">
        <v>15</v>
      </c>
      <c r="F46" s="24">
        <f t="shared" si="10"/>
        <v>0</v>
      </c>
      <c r="G46" s="24">
        <f t="shared" si="11"/>
        <v>0.6</v>
      </c>
      <c r="H46" s="24">
        <f t="shared" si="12"/>
        <v>15.6</v>
      </c>
      <c r="I46" s="6"/>
      <c r="J46" s="6"/>
      <c r="K46" s="6"/>
      <c r="L46" s="6"/>
      <c r="M46" s="6"/>
      <c r="N46" s="6"/>
      <c r="O46" s="31"/>
      <c r="P46" s="12"/>
      <c r="Q46" s="6"/>
    </row>
    <row r="47" spans="1:18" x14ac:dyDescent="0.3">
      <c r="A47" s="6"/>
      <c r="B47" s="11"/>
      <c r="C47" s="23" t="s">
        <v>18</v>
      </c>
      <c r="D47" s="24">
        <f>D46+300000</f>
        <v>1500000</v>
      </c>
      <c r="E47" s="24">
        <v>20</v>
      </c>
      <c r="F47" s="24">
        <f t="shared" si="10"/>
        <v>0</v>
      </c>
      <c r="G47" s="24">
        <f t="shared" si="11"/>
        <v>0.8</v>
      </c>
      <c r="H47" s="24">
        <f t="shared" si="12"/>
        <v>20.8</v>
      </c>
      <c r="I47" s="6"/>
      <c r="J47" s="6"/>
      <c r="K47" s="6"/>
      <c r="L47" s="6"/>
      <c r="M47" s="6"/>
      <c r="N47" s="6"/>
      <c r="O47" s="31"/>
      <c r="P47" s="12"/>
      <c r="Q47" s="6"/>
    </row>
    <row r="48" spans="1:18" x14ac:dyDescent="0.3">
      <c r="A48" s="6"/>
      <c r="B48" s="11"/>
      <c r="C48" s="23" t="s">
        <v>18</v>
      </c>
      <c r="D48" s="24">
        <v>5000000</v>
      </c>
      <c r="E48" s="24">
        <v>30</v>
      </c>
      <c r="F48" s="24">
        <f t="shared" si="10"/>
        <v>0</v>
      </c>
      <c r="G48" s="24">
        <f t="shared" si="11"/>
        <v>1.2</v>
      </c>
      <c r="H48" s="24">
        <f t="shared" si="12"/>
        <v>31.2</v>
      </c>
      <c r="I48" s="6"/>
      <c r="J48" s="6"/>
      <c r="K48" s="6"/>
      <c r="L48" s="6"/>
      <c r="M48" s="6"/>
      <c r="N48" s="6"/>
      <c r="O48" s="31"/>
      <c r="P48" s="12"/>
      <c r="Q48" s="6"/>
    </row>
    <row r="49" spans="1:17" x14ac:dyDescent="0.3">
      <c r="A49" s="6"/>
      <c r="B49" s="11"/>
      <c r="C49" s="23" t="s">
        <v>18</v>
      </c>
      <c r="D49" s="24">
        <v>10000000</v>
      </c>
      <c r="E49" s="24">
        <v>30</v>
      </c>
      <c r="F49" s="24">
        <f>E49*10%</f>
        <v>3</v>
      </c>
      <c r="G49" s="24">
        <f>(E49+F49)*4%</f>
        <v>1.32</v>
      </c>
      <c r="H49" s="24">
        <f t="shared" si="12"/>
        <v>34.32</v>
      </c>
      <c r="I49" s="6"/>
      <c r="J49" s="6"/>
      <c r="K49" s="6"/>
      <c r="L49" s="6"/>
      <c r="M49" s="6"/>
      <c r="N49" s="6"/>
      <c r="O49" s="31"/>
      <c r="P49" s="12"/>
      <c r="Q49" s="6"/>
    </row>
    <row r="50" spans="1:17" x14ac:dyDescent="0.3">
      <c r="A50" s="6"/>
      <c r="B50" s="11"/>
      <c r="C50" s="23" t="s">
        <v>18</v>
      </c>
      <c r="D50" s="24">
        <v>20000000</v>
      </c>
      <c r="E50" s="24">
        <v>30</v>
      </c>
      <c r="F50" s="24">
        <f>E50*15%</f>
        <v>4.5</v>
      </c>
      <c r="G50" s="24">
        <f>(E50+F50)*4%</f>
        <v>1.3800000000000001</v>
      </c>
      <c r="H50" s="24">
        <f>G50+F50+E50</f>
        <v>35.880000000000003</v>
      </c>
      <c r="I50" s="6"/>
      <c r="J50" s="6"/>
      <c r="K50" s="6"/>
      <c r="L50" s="6"/>
      <c r="M50" s="6"/>
      <c r="N50" s="6"/>
      <c r="O50" s="31"/>
      <c r="P50" s="12"/>
      <c r="Q50" s="6"/>
    </row>
    <row r="51" spans="1:17" x14ac:dyDescent="0.3">
      <c r="A51" s="6"/>
      <c r="B51" s="11"/>
      <c r="C51" s="23" t="s">
        <v>18</v>
      </c>
      <c r="D51" s="24" t="s">
        <v>140</v>
      </c>
      <c r="E51" s="24">
        <v>30</v>
      </c>
      <c r="F51" s="24">
        <f>E51*25%</f>
        <v>7.5</v>
      </c>
      <c r="G51" s="24">
        <f>(E51+F51)*4%</f>
        <v>1.5</v>
      </c>
      <c r="H51" s="24">
        <f>G51+F51+E51</f>
        <v>39</v>
      </c>
      <c r="I51" s="6"/>
      <c r="J51" s="6"/>
      <c r="K51" s="6"/>
      <c r="L51" s="6"/>
      <c r="M51" s="6"/>
      <c r="N51" s="6"/>
      <c r="O51" s="31"/>
      <c r="P51" s="12"/>
      <c r="Q51" s="6"/>
    </row>
    <row r="52" spans="1:17" x14ac:dyDescent="0.3">
      <c r="A52" s="6"/>
      <c r="B52" s="11"/>
      <c r="C52" s="23"/>
      <c r="D52" s="24"/>
      <c r="E52" s="24"/>
      <c r="F52" s="24"/>
      <c r="G52" s="24"/>
      <c r="H52" s="24"/>
      <c r="I52" s="6"/>
      <c r="J52" s="6"/>
      <c r="K52" s="6"/>
      <c r="L52" s="6"/>
      <c r="M52" s="6"/>
      <c r="N52" s="6"/>
      <c r="O52" s="31"/>
      <c r="P52" s="12"/>
      <c r="Q52" s="6"/>
    </row>
    <row r="53" spans="1:17" x14ac:dyDescent="0.3">
      <c r="A53" s="6"/>
      <c r="B53" s="11"/>
      <c r="C53" s="23"/>
      <c r="D53" s="24"/>
      <c r="E53" s="24"/>
      <c r="F53" s="24"/>
      <c r="G53" s="24"/>
      <c r="H53" s="24"/>
      <c r="I53" s="32"/>
      <c r="J53" s="32"/>
      <c r="K53" s="32"/>
      <c r="L53" s="32"/>
      <c r="M53" s="32"/>
      <c r="N53" s="32"/>
      <c r="O53" s="34"/>
      <c r="P53" s="12"/>
      <c r="Q53" s="6"/>
    </row>
    <row r="54" spans="1:17" x14ac:dyDescent="0.3">
      <c r="A54" s="6"/>
      <c r="B54" s="11"/>
      <c r="C54" s="6"/>
      <c r="D54" s="9"/>
      <c r="E54" s="9"/>
      <c r="F54" s="9"/>
      <c r="G54" s="9"/>
      <c r="H54" s="9"/>
      <c r="I54" s="6"/>
      <c r="J54" s="6"/>
      <c r="K54" s="6"/>
      <c r="L54" s="6"/>
      <c r="M54" s="6"/>
      <c r="N54" s="6"/>
      <c r="O54" s="6"/>
      <c r="P54" s="12"/>
      <c r="Q54" s="6"/>
    </row>
    <row r="55" spans="1:17" x14ac:dyDescent="0.3">
      <c r="A55" s="6"/>
      <c r="B55" s="18"/>
      <c r="C55" s="13"/>
      <c r="D55" s="19"/>
      <c r="E55" s="19"/>
      <c r="F55" s="19"/>
      <c r="G55" s="19"/>
      <c r="H55" s="19"/>
      <c r="I55" s="13"/>
      <c r="J55" s="13"/>
      <c r="K55" s="13"/>
      <c r="L55" s="13"/>
      <c r="M55" s="13"/>
      <c r="N55" s="13"/>
      <c r="O55" s="13"/>
      <c r="P55" s="20"/>
      <c r="Q55" s="6"/>
    </row>
    <row r="56" spans="1:17" x14ac:dyDescent="0.3">
      <c r="A56" s="6"/>
      <c r="B56" s="6"/>
      <c r="I56" s="6"/>
      <c r="J56" s="6"/>
      <c r="K56" s="6"/>
      <c r="L56" s="6"/>
      <c r="M56" s="6"/>
      <c r="N56" s="6"/>
      <c r="O56" s="6"/>
      <c r="P56" s="6"/>
      <c r="Q56" s="6"/>
    </row>
  </sheetData>
  <mergeCells count="4">
    <mergeCell ref="C41:H41"/>
    <mergeCell ref="C15:H15"/>
    <mergeCell ref="B2:E2"/>
    <mergeCell ref="B29:E29"/>
  </mergeCells>
  <dataValidations count="1">
    <dataValidation allowBlank="1" showInputMessage="1" showErrorMessage="1" sqref="C41:C1048576 C3:Q12 D16:H24 C15:C24 S3:XFD12 A13:XFD13 I14:XFD1048576 C30:H40 D42:H1048576" xr:uid="{00000000-0002-0000-0100-000000000000}"/>
  </dataValidations>
  <printOptions horizontalCentered="1" verticalCentered="1"/>
  <pageMargins left="0.08" right="0.12" top="0.28999999999999998" bottom="0.09" header="0.18" footer="0.06"/>
  <pageSetup paperSize="9" scale="7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Proposed Tax Calculator</vt:lpstr>
      <vt:lpstr>Income Slabs</vt:lpstr>
      <vt:lpstr>LTA_CELL</vt:lpstr>
      <vt:lpstr>'Income Slabs'!Print_Area</vt:lpstr>
      <vt:lpstr>'Proposed Tax Calculator'!Print_Area</vt:lpstr>
      <vt:lpstr>ST_NAME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Ajit Yadav</dc:creator>
  <cp:lastModifiedBy>Ajit Yadav</cp:lastModifiedBy>
  <cp:lastPrinted>2026-03-31T10:10:11Z</cp:lastPrinted>
  <dcterms:created xsi:type="dcterms:W3CDTF">2015-06-05T18:17:20Z</dcterms:created>
  <dcterms:modified xsi:type="dcterms:W3CDTF">2026-04-01T12:39:31Z</dcterms:modified>
</cp:coreProperties>
</file>